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bdel\Documents\DOSSIER TARRACO\A Liste d_entree du jour\"/>
    </mc:Choice>
  </mc:AlternateContent>
  <xr:revisionPtr revIDLastSave="0" documentId="8_{3A18EB02-5648-4D6F-9B7A-756FBB2B1BA5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RODUCTOS" sheetId="1" r:id="rId1"/>
  </sheets>
  <definedNames>
    <definedName name="_xlnm._FilterDatabase" localSheetId="0" hidden="1">PRODUCTOS!$A$4:$P$4398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66" i="1" l="1"/>
  <c r="A566" i="1"/>
  <c r="L819" i="1"/>
  <c r="A819" i="1"/>
  <c r="L818" i="1"/>
  <c r="A818" i="1"/>
  <c r="L912" i="1"/>
  <c r="A912" i="1"/>
  <c r="L911" i="1"/>
  <c r="A911" i="1"/>
  <c r="L910" i="1"/>
  <c r="A910" i="1"/>
  <c r="L246" i="1"/>
  <c r="A246" i="1"/>
  <c r="L245" i="1"/>
  <c r="A245" i="1"/>
  <c r="L244" i="1"/>
  <c r="A244" i="1"/>
  <c r="L243" i="1"/>
  <c r="A243" i="1"/>
  <c r="L242" i="1"/>
  <c r="A242" i="1"/>
  <c r="L241" i="1"/>
  <c r="A241" i="1"/>
  <c r="L240" i="1"/>
  <c r="A240" i="1"/>
  <c r="L239" i="1"/>
  <c r="A239" i="1"/>
  <c r="L238" i="1"/>
  <c r="A238" i="1"/>
  <c r="L237" i="1"/>
  <c r="A237" i="1"/>
  <c r="L236" i="1"/>
  <c r="A236" i="1"/>
  <c r="L828" i="1"/>
  <c r="A828" i="1"/>
  <c r="L4398" i="1" l="1"/>
  <c r="L4397" i="1"/>
  <c r="L4396" i="1"/>
  <c r="L4395" i="1"/>
  <c r="L4394" i="1"/>
  <c r="L4393" i="1"/>
  <c r="L4392" i="1"/>
  <c r="L4391" i="1"/>
  <c r="L4390" i="1"/>
  <c r="L4389" i="1"/>
  <c r="L4388" i="1"/>
  <c r="L4387" i="1"/>
  <c r="L4386" i="1"/>
  <c r="L4385" i="1"/>
  <c r="L4384" i="1"/>
  <c r="L4383" i="1"/>
  <c r="L4382" i="1"/>
  <c r="L4381" i="1"/>
  <c r="L4380" i="1"/>
  <c r="L4379" i="1"/>
  <c r="L4378" i="1"/>
  <c r="L4377" i="1"/>
  <c r="L4376" i="1"/>
  <c r="L4375" i="1"/>
  <c r="L4374" i="1"/>
  <c r="L4373" i="1"/>
  <c r="L4372" i="1"/>
  <c r="L4371" i="1"/>
  <c r="L4370" i="1"/>
  <c r="L4369" i="1"/>
  <c r="L4368" i="1"/>
  <c r="L4367" i="1"/>
  <c r="L4366" i="1"/>
  <c r="L4365" i="1"/>
  <c r="L4364" i="1"/>
  <c r="L4363" i="1"/>
  <c r="L4362" i="1"/>
  <c r="L4361" i="1"/>
  <c r="L4360" i="1"/>
  <c r="L4359" i="1"/>
  <c r="L4358" i="1"/>
  <c r="L4357" i="1"/>
  <c r="L4356" i="1"/>
  <c r="L4355" i="1"/>
  <c r="L4354" i="1"/>
  <c r="L4353" i="1"/>
  <c r="L4352" i="1"/>
  <c r="L4351" i="1"/>
  <c r="L4350" i="1"/>
  <c r="L4349" i="1"/>
  <c r="L4348" i="1"/>
  <c r="L4347" i="1"/>
  <c r="L4346" i="1"/>
  <c r="L4345" i="1"/>
  <c r="L4344" i="1"/>
  <c r="L4343" i="1"/>
  <c r="L4342" i="1"/>
  <c r="L4341" i="1"/>
  <c r="L4340" i="1"/>
  <c r="L4339" i="1"/>
  <c r="L4338" i="1"/>
  <c r="L4337" i="1"/>
  <c r="L4336" i="1"/>
  <c r="L4335" i="1"/>
  <c r="L4334" i="1"/>
  <c r="L4333" i="1"/>
  <c r="L4332" i="1"/>
  <c r="L4331" i="1"/>
  <c r="L4330" i="1"/>
  <c r="L4329" i="1"/>
  <c r="L4328" i="1"/>
  <c r="L4327" i="1"/>
  <c r="L4326" i="1"/>
  <c r="L4325" i="1"/>
  <c r="L4324" i="1"/>
  <c r="L4323" i="1"/>
  <c r="L4322" i="1"/>
  <c r="L4321" i="1"/>
  <c r="L4320" i="1"/>
  <c r="L4319" i="1"/>
  <c r="L4318" i="1"/>
  <c r="L4317" i="1"/>
  <c r="L4316" i="1"/>
  <c r="L4315" i="1"/>
  <c r="L4314" i="1"/>
  <c r="L4313" i="1"/>
  <c r="L4312" i="1"/>
  <c r="L4311" i="1"/>
  <c r="L4310" i="1"/>
  <c r="L4309" i="1"/>
  <c r="L4308" i="1"/>
  <c r="L4307" i="1"/>
  <c r="L4306" i="1"/>
  <c r="L4305" i="1"/>
  <c r="L4304" i="1"/>
  <c r="L4303" i="1"/>
  <c r="L4302" i="1"/>
  <c r="L4301" i="1"/>
  <c r="L4300" i="1"/>
  <c r="L4299" i="1"/>
  <c r="L4298" i="1"/>
  <c r="L4297" i="1"/>
  <c r="L4296" i="1"/>
  <c r="L4295" i="1"/>
  <c r="L4294" i="1"/>
  <c r="L4293" i="1"/>
  <c r="L4292" i="1"/>
  <c r="L4291" i="1"/>
  <c r="L4290" i="1"/>
  <c r="L4289" i="1"/>
  <c r="L4288" i="1"/>
  <c r="L4287" i="1"/>
  <c r="L4286" i="1"/>
  <c r="L4285" i="1"/>
  <c r="L4284" i="1"/>
  <c r="L4283" i="1"/>
  <c r="L4282" i="1"/>
  <c r="L4281" i="1"/>
  <c r="L4280" i="1"/>
  <c r="L4279" i="1"/>
  <c r="L4278" i="1"/>
  <c r="L4277" i="1"/>
  <c r="L4276" i="1"/>
  <c r="L4275" i="1"/>
  <c r="L4274" i="1"/>
  <c r="L4273" i="1"/>
  <c r="L4272" i="1"/>
  <c r="L4271" i="1"/>
  <c r="L4270" i="1"/>
  <c r="L4269" i="1"/>
  <c r="L4268" i="1"/>
  <c r="L4267" i="1"/>
  <c r="L4266" i="1"/>
  <c r="L4265" i="1"/>
  <c r="L4264" i="1"/>
  <c r="L4263" i="1"/>
  <c r="L4262" i="1"/>
  <c r="L4261" i="1"/>
  <c r="L4260" i="1"/>
  <c r="L4259" i="1"/>
  <c r="L4258" i="1"/>
  <c r="L4257" i="1"/>
  <c r="L4256" i="1"/>
  <c r="L4255" i="1"/>
  <c r="L4254" i="1"/>
  <c r="L4253" i="1"/>
  <c r="L4252" i="1"/>
  <c r="L4251" i="1"/>
  <c r="L4250" i="1"/>
  <c r="L4249" i="1"/>
  <c r="L4248" i="1"/>
  <c r="L4247" i="1"/>
  <c r="L4246" i="1"/>
  <c r="L4245" i="1"/>
  <c r="L4244" i="1"/>
  <c r="L4243" i="1"/>
  <c r="L4242" i="1"/>
  <c r="L4241" i="1"/>
  <c r="L4240" i="1"/>
  <c r="L4239" i="1"/>
  <c r="L4238" i="1"/>
  <c r="L4237" i="1"/>
  <c r="L4236" i="1"/>
  <c r="L4235" i="1"/>
  <c r="L4234" i="1"/>
  <c r="L4233" i="1"/>
  <c r="L4232" i="1"/>
  <c r="L4231" i="1"/>
  <c r="L4230" i="1"/>
  <c r="L4229" i="1"/>
  <c r="L4228" i="1"/>
  <c r="L4227" i="1"/>
  <c r="L4226" i="1"/>
  <c r="L4225" i="1"/>
  <c r="L4224" i="1"/>
  <c r="L4223" i="1"/>
  <c r="L4222" i="1"/>
  <c r="L4221" i="1"/>
  <c r="L4220" i="1"/>
  <c r="L4219" i="1"/>
  <c r="L4218" i="1"/>
  <c r="L4217" i="1"/>
  <c r="L4216" i="1"/>
  <c r="L4215" i="1"/>
  <c r="L4214" i="1"/>
  <c r="L4213" i="1"/>
  <c r="L4212" i="1"/>
  <c r="L4211" i="1"/>
  <c r="L4210" i="1"/>
  <c r="L4209" i="1"/>
  <c r="L4208" i="1"/>
  <c r="L4207" i="1"/>
  <c r="L4206" i="1"/>
  <c r="L4205" i="1"/>
  <c r="L4204" i="1"/>
  <c r="L4203" i="1"/>
  <c r="L4202" i="1"/>
  <c r="L4201" i="1"/>
  <c r="L4200" i="1"/>
  <c r="L4199" i="1"/>
  <c r="L4198" i="1"/>
  <c r="L4197" i="1"/>
  <c r="L4196" i="1"/>
  <c r="L4195" i="1"/>
  <c r="L4194" i="1"/>
  <c r="L4193" i="1"/>
  <c r="L4192" i="1"/>
  <c r="L4191" i="1"/>
  <c r="L4190" i="1"/>
  <c r="L4189" i="1"/>
  <c r="L4188" i="1"/>
  <c r="L4187" i="1"/>
  <c r="L4186" i="1"/>
  <c r="L4185" i="1"/>
  <c r="L4184" i="1"/>
  <c r="L4183" i="1"/>
  <c r="L4182" i="1"/>
  <c r="L4181" i="1"/>
  <c r="L4180" i="1"/>
  <c r="L4179" i="1"/>
  <c r="L4178" i="1"/>
  <c r="L4177" i="1"/>
  <c r="L4176" i="1"/>
  <c r="L4175" i="1"/>
  <c r="L4174" i="1"/>
  <c r="L4173" i="1"/>
  <c r="L4172" i="1"/>
  <c r="L4171" i="1"/>
  <c r="L4170" i="1"/>
  <c r="L4169" i="1"/>
  <c r="L4168" i="1"/>
  <c r="L4167" i="1"/>
  <c r="L4166" i="1"/>
  <c r="L4165" i="1"/>
  <c r="L4164" i="1"/>
  <c r="L4163" i="1"/>
  <c r="L4162" i="1"/>
  <c r="L4161" i="1"/>
  <c r="L4160" i="1"/>
  <c r="L4159" i="1"/>
  <c r="L4158" i="1"/>
  <c r="L4157" i="1"/>
  <c r="L4156" i="1"/>
  <c r="L4155" i="1"/>
  <c r="L4154" i="1"/>
  <c r="L4153" i="1"/>
  <c r="L4152" i="1"/>
  <c r="L4151" i="1"/>
  <c r="L4150" i="1"/>
  <c r="L4149" i="1"/>
  <c r="L4148" i="1"/>
  <c r="L4147" i="1"/>
  <c r="L4146" i="1"/>
  <c r="L4145" i="1"/>
  <c r="L4144" i="1"/>
  <c r="L4143" i="1"/>
  <c r="L4142" i="1"/>
  <c r="L4141" i="1"/>
  <c r="L4140" i="1"/>
  <c r="L4139" i="1"/>
  <c r="L4138" i="1"/>
  <c r="L4137" i="1"/>
  <c r="L4136" i="1"/>
  <c r="L4135" i="1"/>
  <c r="L4134" i="1"/>
  <c r="L4133" i="1"/>
  <c r="L4132" i="1"/>
  <c r="L4131" i="1"/>
  <c r="L4130" i="1"/>
  <c r="L4129" i="1"/>
  <c r="L4128" i="1"/>
  <c r="L4127" i="1"/>
  <c r="L4126" i="1"/>
  <c r="L4125" i="1"/>
  <c r="L4124" i="1"/>
  <c r="L4123" i="1"/>
  <c r="L4122" i="1"/>
  <c r="L4121" i="1"/>
  <c r="L4120" i="1"/>
  <c r="L4119" i="1"/>
  <c r="L4118" i="1"/>
  <c r="L4117" i="1"/>
  <c r="L4116" i="1"/>
  <c r="L4115" i="1"/>
  <c r="L4114" i="1"/>
  <c r="L4113" i="1"/>
  <c r="L4112" i="1"/>
  <c r="L4111" i="1"/>
  <c r="L4110" i="1"/>
  <c r="L4109" i="1"/>
  <c r="L4108" i="1"/>
  <c r="L4107" i="1"/>
  <c r="L4106" i="1"/>
  <c r="L4105" i="1"/>
  <c r="L4104" i="1"/>
  <c r="L4103" i="1"/>
  <c r="L4102" i="1"/>
  <c r="L4101" i="1"/>
  <c r="L4100" i="1"/>
  <c r="L4099" i="1"/>
  <c r="L4098" i="1"/>
  <c r="L4097" i="1"/>
  <c r="L4096" i="1"/>
  <c r="L4095" i="1"/>
  <c r="L4094" i="1"/>
  <c r="L4093" i="1"/>
  <c r="L4092" i="1"/>
  <c r="L4091" i="1"/>
  <c r="L4090" i="1"/>
  <c r="L4089" i="1"/>
  <c r="L4088" i="1"/>
  <c r="L4087" i="1"/>
  <c r="L4086" i="1"/>
  <c r="L4085" i="1"/>
  <c r="L4084" i="1"/>
  <c r="L4083" i="1"/>
  <c r="L4082" i="1"/>
  <c r="L4081" i="1"/>
  <c r="L4080" i="1"/>
  <c r="L4079" i="1"/>
  <c r="L4078" i="1"/>
  <c r="L4077" i="1"/>
  <c r="L4076" i="1"/>
  <c r="L4075" i="1"/>
  <c r="L4074" i="1"/>
  <c r="L4073" i="1"/>
  <c r="L4072" i="1"/>
  <c r="L4071" i="1"/>
  <c r="L4070" i="1"/>
  <c r="L4069" i="1"/>
  <c r="L4068" i="1"/>
  <c r="L4067" i="1"/>
  <c r="L4066" i="1"/>
  <c r="L4065" i="1"/>
  <c r="L4064" i="1"/>
  <c r="L4063" i="1"/>
  <c r="L4062" i="1"/>
  <c r="L4061" i="1"/>
  <c r="L4060" i="1"/>
  <c r="L4059" i="1"/>
  <c r="L4058" i="1"/>
  <c r="L4057" i="1"/>
  <c r="L4056" i="1"/>
  <c r="L4055" i="1"/>
  <c r="L4054" i="1"/>
  <c r="L4053" i="1"/>
  <c r="L4052" i="1"/>
  <c r="L4051" i="1"/>
  <c r="L4050" i="1"/>
  <c r="L4049" i="1"/>
  <c r="L4048" i="1"/>
  <c r="L4047" i="1"/>
  <c r="L4046" i="1"/>
  <c r="L4045" i="1"/>
  <c r="L4044" i="1"/>
  <c r="L4043" i="1"/>
  <c r="L4042" i="1"/>
  <c r="L4041" i="1"/>
  <c r="L4040" i="1"/>
  <c r="L4039" i="1"/>
  <c r="L4038" i="1"/>
  <c r="L4037" i="1"/>
  <c r="L4036" i="1"/>
  <c r="L4035" i="1"/>
  <c r="L4034" i="1"/>
  <c r="L4033" i="1"/>
  <c r="L4032" i="1"/>
  <c r="L4031" i="1"/>
  <c r="L4030" i="1"/>
  <c r="L4029" i="1"/>
  <c r="L4028" i="1"/>
  <c r="L4027" i="1"/>
  <c r="L4026" i="1"/>
  <c r="L4025" i="1"/>
  <c r="L4024" i="1"/>
  <c r="L4023" i="1"/>
  <c r="L4022" i="1"/>
  <c r="L4021" i="1"/>
  <c r="L4020" i="1"/>
  <c r="L4019" i="1"/>
  <c r="L4018" i="1"/>
  <c r="L4017" i="1"/>
  <c r="L4016" i="1"/>
  <c r="L4015" i="1"/>
  <c r="L4014" i="1"/>
  <c r="L4013" i="1"/>
  <c r="L4012" i="1"/>
  <c r="L4011" i="1"/>
  <c r="L4010" i="1"/>
  <c r="L4009" i="1"/>
  <c r="L4008" i="1"/>
  <c r="L4007" i="1"/>
  <c r="L4006" i="1"/>
  <c r="L4005" i="1"/>
  <c r="L4004" i="1"/>
  <c r="L4003" i="1"/>
  <c r="L4002" i="1"/>
  <c r="L4001" i="1"/>
  <c r="L4000" i="1"/>
  <c r="L3999" i="1"/>
  <c r="L3998" i="1"/>
  <c r="L3997" i="1"/>
  <c r="L3996" i="1"/>
  <c r="L3995" i="1"/>
  <c r="L3994" i="1"/>
  <c r="L3993" i="1"/>
  <c r="L3992" i="1"/>
  <c r="L3991" i="1"/>
  <c r="L3990" i="1"/>
  <c r="L3989" i="1"/>
  <c r="L3988" i="1"/>
  <c r="L3987" i="1"/>
  <c r="L3986" i="1"/>
  <c r="L3985" i="1"/>
  <c r="L3984" i="1"/>
  <c r="L3983" i="1"/>
  <c r="L3982" i="1"/>
  <c r="L3981" i="1"/>
  <c r="L3980" i="1"/>
  <c r="L3979" i="1"/>
  <c r="L3978" i="1"/>
  <c r="L3977" i="1"/>
  <c r="L3976" i="1"/>
  <c r="L3975" i="1"/>
  <c r="L3974" i="1"/>
  <c r="L3973" i="1"/>
  <c r="L3972" i="1"/>
  <c r="L3971" i="1"/>
  <c r="L3970" i="1"/>
  <c r="L3969" i="1"/>
  <c r="L3968" i="1"/>
  <c r="L3967" i="1"/>
  <c r="L3966" i="1"/>
  <c r="L3965" i="1"/>
  <c r="L3964" i="1"/>
  <c r="L3963" i="1"/>
  <c r="L3962" i="1"/>
  <c r="L3961" i="1"/>
  <c r="L3960" i="1"/>
  <c r="L3959" i="1"/>
  <c r="L3958" i="1"/>
  <c r="L3957" i="1"/>
  <c r="L3956" i="1"/>
  <c r="L3955" i="1"/>
  <c r="L3954" i="1"/>
  <c r="L3953" i="1"/>
  <c r="L3952" i="1"/>
  <c r="L3951" i="1"/>
  <c r="L3950" i="1"/>
  <c r="L3949" i="1"/>
  <c r="L3948" i="1"/>
  <c r="L3947" i="1"/>
  <c r="L3946" i="1"/>
  <c r="L3945" i="1"/>
  <c r="L3944" i="1"/>
  <c r="L3943" i="1"/>
  <c r="L3942" i="1"/>
  <c r="L3941" i="1"/>
  <c r="L3940" i="1"/>
  <c r="L3939" i="1"/>
  <c r="L3938" i="1"/>
  <c r="L3937" i="1"/>
  <c r="L3936" i="1"/>
  <c r="L3935" i="1"/>
  <c r="L3934" i="1"/>
  <c r="L3933" i="1"/>
  <c r="L3932" i="1"/>
  <c r="L3931" i="1"/>
  <c r="L3930" i="1"/>
  <c r="L3929" i="1"/>
  <c r="L3928" i="1"/>
  <c r="L3927" i="1"/>
  <c r="L3926" i="1"/>
  <c r="L3925" i="1"/>
  <c r="L3924" i="1"/>
  <c r="L3923" i="1"/>
  <c r="L3922" i="1"/>
  <c r="L3921" i="1"/>
  <c r="L3920" i="1"/>
  <c r="L3919" i="1"/>
  <c r="L3918" i="1"/>
  <c r="L3917" i="1"/>
  <c r="L3916" i="1"/>
  <c r="L3915" i="1"/>
  <c r="L3914" i="1"/>
  <c r="L3913" i="1"/>
  <c r="L3912" i="1"/>
  <c r="L3911" i="1"/>
  <c r="L3910" i="1"/>
  <c r="L3909" i="1"/>
  <c r="L3908" i="1"/>
  <c r="L3907" i="1"/>
  <c r="L3906" i="1"/>
  <c r="L3905" i="1"/>
  <c r="L3904" i="1"/>
  <c r="L3903" i="1"/>
  <c r="L3902" i="1"/>
  <c r="L3901" i="1"/>
  <c r="L3900" i="1"/>
  <c r="L3899" i="1"/>
  <c r="L3898" i="1"/>
  <c r="L3897" i="1"/>
  <c r="L3896" i="1"/>
  <c r="L3895" i="1"/>
  <c r="L3894" i="1"/>
  <c r="L3893" i="1"/>
  <c r="L3892" i="1"/>
  <c r="L3891" i="1"/>
  <c r="L3890" i="1"/>
  <c r="L3889" i="1"/>
  <c r="L3888" i="1"/>
  <c r="L3887" i="1"/>
  <c r="L3886" i="1"/>
  <c r="L3885" i="1"/>
  <c r="L3884" i="1"/>
  <c r="L3883" i="1"/>
  <c r="L3882" i="1"/>
  <c r="L3881" i="1"/>
  <c r="L3880" i="1"/>
  <c r="L3879" i="1"/>
  <c r="L3878" i="1"/>
  <c r="L3877" i="1"/>
  <c r="L3876" i="1"/>
  <c r="L3875" i="1"/>
  <c r="L3874" i="1"/>
  <c r="L3873" i="1"/>
  <c r="L3872" i="1"/>
  <c r="L3871" i="1"/>
  <c r="L3870" i="1"/>
  <c r="L3869" i="1"/>
  <c r="L3868" i="1"/>
  <c r="L3867" i="1"/>
  <c r="L3866" i="1"/>
  <c r="L3865" i="1"/>
  <c r="L3864" i="1"/>
  <c r="L3863" i="1"/>
  <c r="L3862" i="1"/>
  <c r="L3861" i="1"/>
  <c r="L3860" i="1"/>
  <c r="L3859" i="1"/>
  <c r="L3858" i="1"/>
  <c r="L3857" i="1"/>
  <c r="L3856" i="1"/>
  <c r="L3855" i="1"/>
  <c r="L3854" i="1"/>
  <c r="L3853" i="1"/>
  <c r="L3852" i="1"/>
  <c r="L3851" i="1"/>
  <c r="L3850" i="1"/>
  <c r="L3849" i="1"/>
  <c r="L3848" i="1"/>
  <c r="L3847" i="1"/>
  <c r="L3846" i="1"/>
  <c r="L3845" i="1"/>
  <c r="L3844" i="1"/>
  <c r="L3843" i="1"/>
  <c r="L3842" i="1"/>
  <c r="L3841" i="1"/>
  <c r="L3840" i="1"/>
  <c r="L3839" i="1"/>
  <c r="L3838" i="1"/>
  <c r="L3837" i="1"/>
  <c r="L3836" i="1"/>
  <c r="L3835" i="1"/>
  <c r="L3834" i="1"/>
  <c r="L3833" i="1"/>
  <c r="L3832" i="1"/>
  <c r="L3831" i="1"/>
  <c r="L3830" i="1"/>
  <c r="L3829" i="1"/>
  <c r="L3828" i="1"/>
  <c r="L3827" i="1"/>
  <c r="L3826" i="1"/>
  <c r="L3825" i="1"/>
  <c r="L3824" i="1"/>
  <c r="L3823" i="1"/>
  <c r="L3822" i="1"/>
  <c r="L3821" i="1"/>
  <c r="L3820" i="1"/>
  <c r="L3819" i="1"/>
  <c r="L3818" i="1"/>
  <c r="L3817" i="1"/>
  <c r="L3816" i="1"/>
  <c r="L3815" i="1"/>
  <c r="L3814" i="1"/>
  <c r="L3813" i="1"/>
  <c r="L3812" i="1"/>
  <c r="L3811" i="1"/>
  <c r="L3810" i="1"/>
  <c r="L3809" i="1"/>
  <c r="L3808" i="1"/>
  <c r="L3807" i="1"/>
  <c r="L3806" i="1"/>
  <c r="L3805" i="1"/>
  <c r="L3804" i="1"/>
  <c r="L3803" i="1"/>
  <c r="L3802" i="1"/>
  <c r="L3801" i="1"/>
  <c r="L3800" i="1"/>
  <c r="L3799" i="1"/>
  <c r="L3798" i="1"/>
  <c r="L3797" i="1"/>
  <c r="L3796" i="1"/>
  <c r="L3795" i="1"/>
  <c r="L3794" i="1"/>
  <c r="L3793" i="1"/>
  <c r="L3792" i="1"/>
  <c r="L3791" i="1"/>
  <c r="L3790" i="1"/>
  <c r="L3789" i="1"/>
  <c r="L3788" i="1"/>
  <c r="L3787" i="1"/>
  <c r="L3786" i="1"/>
  <c r="L3785" i="1"/>
  <c r="L3784" i="1"/>
  <c r="L3783" i="1"/>
  <c r="L3782" i="1"/>
  <c r="L3781" i="1"/>
  <c r="L3780" i="1"/>
  <c r="L3779" i="1"/>
  <c r="L3778" i="1"/>
  <c r="L3777" i="1"/>
  <c r="L3776" i="1"/>
  <c r="L3775" i="1"/>
  <c r="L3774" i="1"/>
  <c r="L3773" i="1"/>
  <c r="L3772" i="1"/>
  <c r="L3771" i="1"/>
  <c r="L3770" i="1"/>
  <c r="L3769" i="1"/>
  <c r="L3768" i="1"/>
  <c r="L3767" i="1"/>
  <c r="L3766" i="1"/>
  <c r="L3765" i="1"/>
  <c r="L3764" i="1"/>
  <c r="L3763" i="1"/>
  <c r="L3762" i="1"/>
  <c r="L3761" i="1"/>
  <c r="L3760" i="1"/>
  <c r="L3759" i="1"/>
  <c r="L3758" i="1"/>
  <c r="L3757" i="1"/>
  <c r="L3756" i="1"/>
  <c r="L3755" i="1"/>
  <c r="L3754" i="1"/>
  <c r="L3753" i="1"/>
  <c r="L3752" i="1"/>
  <c r="L3751" i="1"/>
  <c r="L3750" i="1"/>
  <c r="L3749" i="1"/>
  <c r="L3748" i="1"/>
  <c r="L3747" i="1"/>
  <c r="L3746" i="1"/>
  <c r="L3745" i="1"/>
  <c r="L3744" i="1"/>
  <c r="L3743" i="1"/>
  <c r="L3742" i="1"/>
  <c r="L3741" i="1"/>
  <c r="L3740" i="1"/>
  <c r="L3739" i="1"/>
  <c r="L3738" i="1"/>
  <c r="L3737" i="1"/>
  <c r="L3736" i="1"/>
  <c r="L3735" i="1"/>
  <c r="L3734" i="1"/>
  <c r="L3733" i="1"/>
  <c r="L3732" i="1"/>
  <c r="L3731" i="1"/>
  <c r="L3730" i="1"/>
  <c r="L3729" i="1"/>
  <c r="L3728" i="1"/>
  <c r="L3727" i="1"/>
  <c r="L3726" i="1"/>
  <c r="L3725" i="1"/>
  <c r="L3724" i="1"/>
  <c r="L3723" i="1"/>
  <c r="L3722" i="1"/>
  <c r="L3721" i="1"/>
  <c r="L3720" i="1"/>
  <c r="L3719" i="1"/>
  <c r="L3718" i="1"/>
  <c r="L3717" i="1"/>
  <c r="L3716" i="1"/>
  <c r="L3715" i="1"/>
  <c r="L3714" i="1"/>
  <c r="L3713" i="1"/>
  <c r="L3712" i="1"/>
  <c r="L3711" i="1"/>
  <c r="L3710" i="1"/>
  <c r="L3709" i="1"/>
  <c r="L3708" i="1"/>
  <c r="L3707" i="1"/>
  <c r="L3706" i="1"/>
  <c r="L3705" i="1"/>
  <c r="L3704" i="1"/>
  <c r="L3703" i="1"/>
  <c r="L3702" i="1"/>
  <c r="L3701" i="1"/>
  <c r="L3700" i="1"/>
  <c r="L3699" i="1"/>
  <c r="L3698" i="1"/>
  <c r="L3697" i="1"/>
  <c r="L3696" i="1"/>
  <c r="L3695" i="1"/>
  <c r="L3694" i="1"/>
  <c r="L3693" i="1"/>
  <c r="L3692" i="1"/>
  <c r="L3691" i="1"/>
  <c r="L3690" i="1"/>
  <c r="L3689" i="1"/>
  <c r="L3688" i="1"/>
  <c r="L3687" i="1"/>
  <c r="L3686" i="1"/>
  <c r="L3685" i="1"/>
  <c r="L3684" i="1"/>
  <c r="L3683" i="1"/>
  <c r="L3682" i="1"/>
  <c r="L3681" i="1"/>
  <c r="L3680" i="1"/>
  <c r="L3679" i="1"/>
  <c r="L3678" i="1"/>
  <c r="L3677" i="1"/>
  <c r="L3676" i="1"/>
  <c r="L3675" i="1"/>
  <c r="L3674" i="1"/>
  <c r="L3673" i="1"/>
  <c r="L3672" i="1"/>
  <c r="L3671" i="1"/>
  <c r="L3670" i="1"/>
  <c r="L3669" i="1"/>
  <c r="L3668" i="1"/>
  <c r="L3667" i="1"/>
  <c r="L3666" i="1"/>
  <c r="L3665" i="1"/>
  <c r="L3664" i="1"/>
  <c r="L3663" i="1"/>
  <c r="L3662" i="1"/>
  <c r="L3661" i="1"/>
  <c r="L3660" i="1"/>
  <c r="L3659" i="1"/>
  <c r="L3658" i="1"/>
  <c r="L3657" i="1"/>
  <c r="L3656" i="1"/>
  <c r="L3655" i="1"/>
  <c r="L3654" i="1"/>
  <c r="L3653" i="1"/>
  <c r="L3652" i="1"/>
  <c r="L3651" i="1"/>
  <c r="L3650" i="1"/>
  <c r="L3649" i="1"/>
  <c r="L3648" i="1"/>
  <c r="L3647" i="1"/>
  <c r="L3646" i="1"/>
  <c r="L3645" i="1"/>
  <c r="L3644" i="1"/>
  <c r="L3643" i="1"/>
  <c r="L3642" i="1"/>
  <c r="L3641" i="1"/>
  <c r="L3640" i="1"/>
  <c r="L3639" i="1"/>
  <c r="L3638" i="1"/>
  <c r="L3637" i="1"/>
  <c r="L3636" i="1"/>
  <c r="L3635" i="1"/>
  <c r="L3634" i="1"/>
  <c r="L3633" i="1"/>
  <c r="L3632" i="1"/>
  <c r="L3631" i="1"/>
  <c r="L3630" i="1"/>
  <c r="L3629" i="1"/>
  <c r="L3628" i="1"/>
  <c r="L3627" i="1"/>
  <c r="L3626" i="1"/>
  <c r="L3625" i="1"/>
  <c r="L3624" i="1"/>
  <c r="L3623" i="1"/>
  <c r="L3622" i="1"/>
  <c r="L3621" i="1"/>
  <c r="L3620" i="1"/>
  <c r="L3619" i="1"/>
  <c r="L3618" i="1"/>
  <c r="L3617" i="1"/>
  <c r="L3616" i="1"/>
  <c r="L3615" i="1"/>
  <c r="L3614" i="1"/>
  <c r="L3613" i="1"/>
  <c r="L3612" i="1"/>
  <c r="L3611" i="1"/>
  <c r="L3610" i="1"/>
  <c r="L3609" i="1"/>
  <c r="L3608" i="1"/>
  <c r="L3607" i="1"/>
  <c r="L3606" i="1"/>
  <c r="L3605" i="1"/>
  <c r="L3604" i="1"/>
  <c r="L3603" i="1"/>
  <c r="L3602" i="1"/>
  <c r="L3601" i="1"/>
  <c r="L3600" i="1"/>
  <c r="L3599" i="1"/>
  <c r="L3598" i="1"/>
  <c r="L3597" i="1"/>
  <c r="L3596" i="1"/>
  <c r="L3595" i="1"/>
  <c r="L3594" i="1"/>
  <c r="L3593" i="1"/>
  <c r="L3592" i="1"/>
  <c r="L3591" i="1"/>
  <c r="L3590" i="1"/>
  <c r="L3589" i="1"/>
  <c r="L3588" i="1"/>
  <c r="L3587" i="1"/>
  <c r="L3586" i="1"/>
  <c r="L3585" i="1"/>
  <c r="L3584" i="1"/>
  <c r="L3583" i="1"/>
  <c r="L3582" i="1"/>
  <c r="L3581" i="1"/>
  <c r="L3580" i="1"/>
  <c r="L3579" i="1"/>
  <c r="L3578" i="1"/>
  <c r="L3577" i="1"/>
  <c r="L3576" i="1"/>
  <c r="L3575" i="1"/>
  <c r="L3574" i="1"/>
  <c r="L3573" i="1"/>
  <c r="L3572" i="1"/>
  <c r="L3571" i="1"/>
  <c r="L3570" i="1"/>
  <c r="L3569" i="1"/>
  <c r="L3568" i="1"/>
  <c r="L3567" i="1"/>
  <c r="L3566" i="1"/>
  <c r="L3565" i="1"/>
  <c r="L3564" i="1"/>
  <c r="L3563" i="1"/>
  <c r="L3562" i="1"/>
  <c r="L3561" i="1"/>
  <c r="L3560" i="1"/>
  <c r="L3559" i="1"/>
  <c r="L3558" i="1"/>
  <c r="L3557" i="1"/>
  <c r="L3556" i="1"/>
  <c r="L3555" i="1"/>
  <c r="L3554" i="1"/>
  <c r="L3553" i="1"/>
  <c r="L3552" i="1"/>
  <c r="L3551" i="1"/>
  <c r="L3550" i="1"/>
  <c r="L3549" i="1"/>
  <c r="L3548" i="1"/>
  <c r="L3547" i="1"/>
  <c r="L3546" i="1"/>
  <c r="L3545" i="1"/>
  <c r="L3544" i="1"/>
  <c r="L3543" i="1"/>
  <c r="L3542" i="1"/>
  <c r="L3541" i="1"/>
  <c r="L3540" i="1"/>
  <c r="L3539" i="1"/>
  <c r="L3538" i="1"/>
  <c r="L3537" i="1"/>
  <c r="L3536" i="1"/>
  <c r="L3535" i="1"/>
  <c r="L3534" i="1"/>
  <c r="L3533" i="1"/>
  <c r="L3532" i="1"/>
  <c r="L3531" i="1"/>
  <c r="L3530" i="1"/>
  <c r="L3529" i="1"/>
  <c r="L3528" i="1"/>
  <c r="L3527" i="1"/>
  <c r="L3526" i="1"/>
  <c r="L3525" i="1"/>
  <c r="L3524" i="1"/>
  <c r="L3523" i="1"/>
  <c r="L3522" i="1"/>
  <c r="L3521" i="1"/>
  <c r="L3520" i="1"/>
  <c r="L3519" i="1"/>
  <c r="L3518" i="1"/>
  <c r="L3517" i="1"/>
  <c r="L3516" i="1"/>
  <c r="L3515" i="1"/>
  <c r="L3514" i="1"/>
  <c r="L3513" i="1"/>
  <c r="L3512" i="1"/>
  <c r="L3511" i="1"/>
  <c r="L3510" i="1"/>
  <c r="L3509" i="1"/>
  <c r="L3508" i="1"/>
  <c r="L3507" i="1"/>
  <c r="L3506" i="1"/>
  <c r="L3505" i="1"/>
  <c r="L3504" i="1"/>
  <c r="L3503" i="1"/>
  <c r="L3502" i="1"/>
  <c r="L3501" i="1"/>
  <c r="L3500" i="1"/>
  <c r="L3499" i="1"/>
  <c r="L3498" i="1"/>
  <c r="L3497" i="1"/>
  <c r="L3496" i="1"/>
  <c r="L3495" i="1"/>
  <c r="L3494" i="1"/>
  <c r="L3493" i="1"/>
  <c r="L3492" i="1"/>
  <c r="L3491" i="1"/>
  <c r="L3490" i="1"/>
  <c r="L3489" i="1"/>
  <c r="L3488" i="1"/>
  <c r="L3487" i="1"/>
  <c r="L3486" i="1"/>
  <c r="L3485" i="1"/>
  <c r="L3484" i="1"/>
  <c r="L3483" i="1"/>
  <c r="L3482" i="1"/>
  <c r="L3481" i="1"/>
  <c r="L3480" i="1"/>
  <c r="L3479" i="1"/>
  <c r="L3478" i="1"/>
  <c r="L3477" i="1"/>
  <c r="L3476" i="1"/>
  <c r="L3475" i="1"/>
  <c r="L3474" i="1"/>
  <c r="L3473" i="1"/>
  <c r="L3472" i="1"/>
  <c r="L3471" i="1"/>
  <c r="L3470" i="1"/>
  <c r="L3469" i="1"/>
  <c r="L3468" i="1"/>
  <c r="L3467" i="1"/>
  <c r="L3466" i="1"/>
  <c r="L3465" i="1"/>
  <c r="L3464" i="1"/>
  <c r="L3463" i="1"/>
  <c r="L3462" i="1"/>
  <c r="L3461" i="1"/>
  <c r="L3460" i="1"/>
  <c r="L3459" i="1"/>
  <c r="L3458" i="1"/>
  <c r="L3457" i="1"/>
  <c r="L3456" i="1"/>
  <c r="L3455" i="1"/>
  <c r="L3454" i="1"/>
  <c r="L3453" i="1"/>
  <c r="L3452" i="1"/>
  <c r="L3451" i="1"/>
  <c r="L3450" i="1"/>
  <c r="L3449" i="1"/>
  <c r="L3448" i="1"/>
  <c r="L3447" i="1"/>
  <c r="L3446" i="1"/>
  <c r="L3445" i="1"/>
  <c r="L3444" i="1"/>
  <c r="L3443" i="1"/>
  <c r="L3442" i="1"/>
  <c r="L3441" i="1"/>
  <c r="L3440" i="1"/>
  <c r="L3439" i="1"/>
  <c r="L3438" i="1"/>
  <c r="L3437" i="1"/>
  <c r="L3436" i="1"/>
  <c r="L3435" i="1"/>
  <c r="L3434" i="1"/>
  <c r="L3433" i="1"/>
  <c r="L3432" i="1"/>
  <c r="L3431" i="1"/>
  <c r="L3430" i="1"/>
  <c r="L3429" i="1"/>
  <c r="L3428" i="1"/>
  <c r="L3427" i="1"/>
  <c r="L3426" i="1"/>
  <c r="L3425" i="1"/>
  <c r="L3424" i="1"/>
  <c r="L3423" i="1"/>
  <c r="L3422" i="1"/>
  <c r="L3421" i="1"/>
  <c r="L3420" i="1"/>
  <c r="L3419" i="1"/>
  <c r="L3418" i="1"/>
  <c r="L3417" i="1"/>
  <c r="L3416" i="1"/>
  <c r="L3415" i="1"/>
  <c r="L3414" i="1"/>
  <c r="L3413" i="1"/>
  <c r="L3412" i="1"/>
  <c r="L3411" i="1"/>
  <c r="L3410" i="1"/>
  <c r="L3409" i="1"/>
  <c r="L3408" i="1"/>
  <c r="L3407" i="1"/>
  <c r="L3406" i="1"/>
  <c r="L3405" i="1"/>
  <c r="L3404" i="1"/>
  <c r="L3403" i="1"/>
  <c r="L3402" i="1"/>
  <c r="L3401" i="1"/>
  <c r="L3400" i="1"/>
  <c r="L3399" i="1"/>
  <c r="L3398" i="1"/>
  <c r="L3397" i="1"/>
  <c r="L3396" i="1"/>
  <c r="L3395" i="1"/>
  <c r="L3394" i="1"/>
  <c r="L3393" i="1"/>
  <c r="L3392" i="1"/>
  <c r="L3391" i="1"/>
  <c r="L3390" i="1"/>
  <c r="L3389" i="1"/>
  <c r="L3388" i="1"/>
  <c r="L3387" i="1"/>
  <c r="L3386" i="1"/>
  <c r="L3385" i="1"/>
  <c r="L3384" i="1"/>
  <c r="L3383" i="1"/>
  <c r="L3382" i="1"/>
  <c r="L3381" i="1"/>
  <c r="L3380" i="1"/>
  <c r="L3379" i="1"/>
  <c r="L3378" i="1"/>
  <c r="L3377" i="1"/>
  <c r="L3376" i="1"/>
  <c r="L3375" i="1"/>
  <c r="L3374" i="1"/>
  <c r="L3373" i="1"/>
  <c r="L3372" i="1"/>
  <c r="L3371" i="1"/>
  <c r="L3370" i="1"/>
  <c r="L3369" i="1"/>
  <c r="L3368" i="1"/>
  <c r="L3367" i="1"/>
  <c r="L3366" i="1"/>
  <c r="L3365" i="1"/>
  <c r="L3364" i="1"/>
  <c r="L3363" i="1"/>
  <c r="L3362" i="1"/>
  <c r="L3361" i="1"/>
  <c r="L3360" i="1"/>
  <c r="L3359" i="1"/>
  <c r="L3358" i="1"/>
  <c r="L3357" i="1"/>
  <c r="L3356" i="1"/>
  <c r="L3355" i="1"/>
  <c r="L3354" i="1"/>
  <c r="L3353" i="1"/>
  <c r="L3352" i="1"/>
  <c r="L3351" i="1"/>
  <c r="L3350" i="1"/>
  <c r="L3349" i="1"/>
  <c r="L3348" i="1"/>
  <c r="L3347" i="1"/>
  <c r="L3346" i="1"/>
  <c r="L3345" i="1"/>
  <c r="L3344" i="1"/>
  <c r="L3343" i="1"/>
  <c r="L3342" i="1"/>
  <c r="L3341" i="1"/>
  <c r="L3340" i="1"/>
  <c r="L3339" i="1"/>
  <c r="L3338" i="1"/>
  <c r="L3337" i="1"/>
  <c r="L3336" i="1"/>
  <c r="L3335" i="1"/>
  <c r="L3334" i="1"/>
  <c r="L3333" i="1"/>
  <c r="L3332" i="1"/>
  <c r="L3331" i="1"/>
  <c r="L3330" i="1"/>
  <c r="L3329" i="1"/>
  <c r="L3328" i="1"/>
  <c r="L3327" i="1"/>
  <c r="L3326" i="1"/>
  <c r="L3325" i="1"/>
  <c r="L3324" i="1"/>
  <c r="L3323" i="1"/>
  <c r="L3322" i="1"/>
  <c r="L3321" i="1"/>
  <c r="L3320" i="1"/>
  <c r="L3319" i="1"/>
  <c r="L3318" i="1"/>
  <c r="L3317" i="1"/>
  <c r="L3316" i="1"/>
  <c r="L3315" i="1"/>
  <c r="L3314" i="1"/>
  <c r="L3313" i="1"/>
  <c r="L3312" i="1"/>
  <c r="L3311" i="1"/>
  <c r="L3310" i="1"/>
  <c r="L3309" i="1"/>
  <c r="L3308" i="1"/>
  <c r="L3307" i="1"/>
  <c r="L3306" i="1"/>
  <c r="L3305" i="1"/>
  <c r="L3304" i="1"/>
  <c r="L3303" i="1"/>
  <c r="L3302" i="1"/>
  <c r="L3301" i="1"/>
  <c r="L3300" i="1"/>
  <c r="L3299" i="1"/>
  <c r="L3298" i="1"/>
  <c r="L3297" i="1"/>
  <c r="L3296" i="1"/>
  <c r="L3295" i="1"/>
  <c r="L3294" i="1"/>
  <c r="L3293" i="1"/>
  <c r="L3292" i="1"/>
  <c r="L3291" i="1"/>
  <c r="L3290" i="1"/>
  <c r="L3289" i="1"/>
  <c r="L3288" i="1"/>
  <c r="L3287" i="1"/>
  <c r="L3286" i="1"/>
  <c r="L3285" i="1"/>
  <c r="L3284" i="1"/>
  <c r="L3283" i="1"/>
  <c r="L3282" i="1"/>
  <c r="L3281" i="1"/>
  <c r="L3280" i="1"/>
  <c r="L3279" i="1"/>
  <c r="L3278" i="1"/>
  <c r="L3277" i="1"/>
  <c r="L3276" i="1"/>
  <c r="L3275" i="1"/>
  <c r="L3274" i="1"/>
  <c r="L3273" i="1"/>
  <c r="L3272" i="1"/>
  <c r="L3271" i="1"/>
  <c r="L3270" i="1"/>
  <c r="L3269" i="1"/>
  <c r="L3268" i="1"/>
  <c r="L3267" i="1"/>
  <c r="L3266" i="1"/>
  <c r="L3265" i="1"/>
  <c r="L3264" i="1"/>
  <c r="L3263" i="1"/>
  <c r="L3262" i="1"/>
  <c r="L3261" i="1"/>
  <c r="L3260" i="1"/>
  <c r="L3259" i="1"/>
  <c r="L3258" i="1"/>
  <c r="L3257" i="1"/>
  <c r="L3256" i="1"/>
  <c r="L3255" i="1"/>
  <c r="L3254" i="1"/>
  <c r="L3253" i="1"/>
  <c r="L3252" i="1"/>
  <c r="L3251" i="1"/>
  <c r="L3250" i="1"/>
  <c r="L3249" i="1"/>
  <c r="L3248" i="1"/>
  <c r="L3247" i="1"/>
  <c r="L3246" i="1"/>
  <c r="L3245" i="1"/>
  <c r="L3244" i="1"/>
  <c r="L3243" i="1"/>
  <c r="L3242" i="1"/>
  <c r="L3241" i="1"/>
  <c r="L3240" i="1"/>
  <c r="L3239" i="1"/>
  <c r="L3238" i="1"/>
  <c r="L3237" i="1"/>
  <c r="L3236" i="1"/>
  <c r="L3235" i="1"/>
  <c r="L3234" i="1"/>
  <c r="L3233" i="1"/>
  <c r="L3232" i="1"/>
  <c r="L3231" i="1"/>
  <c r="L3230" i="1"/>
  <c r="L3229" i="1"/>
  <c r="L3228" i="1"/>
  <c r="L3227" i="1"/>
  <c r="L3226" i="1"/>
  <c r="L3225" i="1"/>
  <c r="L3224" i="1"/>
  <c r="L3223" i="1"/>
  <c r="L3222" i="1"/>
  <c r="L3221" i="1"/>
  <c r="L3220" i="1"/>
  <c r="L3219" i="1"/>
  <c r="L3218" i="1"/>
  <c r="L3217" i="1"/>
  <c r="L3216" i="1"/>
  <c r="L3215" i="1"/>
  <c r="L3214" i="1"/>
  <c r="L3213" i="1"/>
  <c r="L3212" i="1"/>
  <c r="L3211" i="1"/>
  <c r="L3210" i="1"/>
  <c r="L3209" i="1"/>
  <c r="L3208" i="1"/>
  <c r="L3207" i="1"/>
  <c r="L3206" i="1"/>
  <c r="L3205" i="1"/>
  <c r="L3204" i="1"/>
  <c r="L3203" i="1"/>
  <c r="L3202" i="1"/>
  <c r="L3201" i="1"/>
  <c r="L3200" i="1"/>
  <c r="L3199" i="1"/>
  <c r="L3198" i="1"/>
  <c r="L3197" i="1"/>
  <c r="L3196" i="1"/>
  <c r="L3195" i="1"/>
  <c r="L3194" i="1"/>
  <c r="L3193" i="1"/>
  <c r="L3192" i="1"/>
  <c r="L3191" i="1"/>
  <c r="L3190" i="1"/>
  <c r="L3189" i="1"/>
  <c r="L3188" i="1"/>
  <c r="L3187" i="1"/>
  <c r="L3186" i="1"/>
  <c r="L3185" i="1"/>
  <c r="L3184" i="1"/>
  <c r="L3183" i="1"/>
  <c r="L3182" i="1"/>
  <c r="L3181" i="1"/>
  <c r="L3180" i="1"/>
  <c r="L3179" i="1"/>
  <c r="L3178" i="1"/>
  <c r="L3177" i="1"/>
  <c r="L3176" i="1"/>
  <c r="L3175" i="1"/>
  <c r="L3174" i="1"/>
  <c r="L3173" i="1"/>
  <c r="L3172" i="1"/>
  <c r="L3171" i="1"/>
  <c r="L3170" i="1"/>
  <c r="L3169" i="1"/>
  <c r="L3168" i="1"/>
  <c r="L3167" i="1"/>
  <c r="L3166" i="1"/>
  <c r="L3165" i="1"/>
  <c r="L3164" i="1"/>
  <c r="L3163" i="1"/>
  <c r="L3162" i="1"/>
  <c r="L3161" i="1"/>
  <c r="L3160" i="1"/>
  <c r="L3159" i="1"/>
  <c r="L3158" i="1"/>
  <c r="L3157" i="1"/>
  <c r="L3156" i="1"/>
  <c r="L3155" i="1"/>
  <c r="L3154" i="1"/>
  <c r="L3153" i="1"/>
  <c r="L3152" i="1"/>
  <c r="L3151" i="1"/>
  <c r="L3150" i="1"/>
  <c r="L3149" i="1"/>
  <c r="L3148" i="1"/>
  <c r="L3147" i="1"/>
  <c r="L3146" i="1"/>
  <c r="L3145" i="1"/>
  <c r="L3144" i="1"/>
  <c r="L3143" i="1"/>
  <c r="L3142" i="1"/>
  <c r="L3141" i="1"/>
  <c r="L3140" i="1"/>
  <c r="L3139" i="1"/>
  <c r="L3138" i="1"/>
  <c r="L3137" i="1"/>
  <c r="L3136" i="1"/>
  <c r="L3135" i="1"/>
  <c r="L3134" i="1"/>
  <c r="L3133" i="1"/>
  <c r="L3132" i="1"/>
  <c r="L3131" i="1"/>
  <c r="L3130" i="1"/>
  <c r="L3129" i="1"/>
  <c r="L3128" i="1"/>
  <c r="L3127" i="1"/>
  <c r="L3126" i="1"/>
  <c r="L3125" i="1"/>
  <c r="L3124" i="1"/>
  <c r="L3123" i="1"/>
  <c r="L3122" i="1"/>
  <c r="L3121" i="1"/>
  <c r="L3120" i="1"/>
  <c r="L3119" i="1"/>
  <c r="L3118" i="1"/>
  <c r="L3117" i="1"/>
  <c r="L3116" i="1"/>
  <c r="L3115" i="1"/>
  <c r="L3114" i="1"/>
  <c r="L3113" i="1"/>
  <c r="L3112" i="1"/>
  <c r="L3111" i="1"/>
  <c r="L3110" i="1"/>
  <c r="L3109" i="1"/>
  <c r="L3108" i="1"/>
  <c r="L3107" i="1"/>
  <c r="L3106" i="1"/>
  <c r="L3105" i="1"/>
  <c r="L3104" i="1"/>
  <c r="L3103" i="1"/>
  <c r="L3102" i="1"/>
  <c r="L3101" i="1"/>
  <c r="L3100" i="1"/>
  <c r="L3099" i="1"/>
  <c r="L3098" i="1"/>
  <c r="L3097" i="1"/>
  <c r="L3096" i="1"/>
  <c r="L3095" i="1"/>
  <c r="L3094" i="1"/>
  <c r="L3093" i="1"/>
  <c r="L3092" i="1"/>
  <c r="L3091" i="1"/>
  <c r="L3090" i="1"/>
  <c r="L3089" i="1"/>
  <c r="L3088" i="1"/>
  <c r="L3087" i="1"/>
  <c r="L3086" i="1"/>
  <c r="L3085" i="1"/>
  <c r="L3084" i="1"/>
  <c r="L3083" i="1"/>
  <c r="L3082" i="1"/>
  <c r="L3081" i="1"/>
  <c r="L3080" i="1"/>
  <c r="L3079" i="1"/>
  <c r="L3078" i="1"/>
  <c r="L3077" i="1"/>
  <c r="L3076" i="1"/>
  <c r="L3075" i="1"/>
  <c r="L3074" i="1"/>
  <c r="L3073" i="1"/>
  <c r="L3072" i="1"/>
  <c r="L3071" i="1"/>
  <c r="L3070" i="1"/>
  <c r="L3069" i="1"/>
  <c r="L3068" i="1"/>
  <c r="L3067" i="1"/>
  <c r="L3066" i="1"/>
  <c r="L3065" i="1"/>
  <c r="L3064" i="1"/>
  <c r="L3063" i="1"/>
  <c r="L3062" i="1"/>
  <c r="L3061" i="1"/>
  <c r="L3060" i="1"/>
  <c r="L3059" i="1"/>
  <c r="L3058" i="1"/>
  <c r="L3057" i="1"/>
  <c r="L3056" i="1"/>
  <c r="L3055" i="1"/>
  <c r="L3054" i="1"/>
  <c r="L3053" i="1"/>
  <c r="L3052" i="1"/>
  <c r="L3051" i="1"/>
  <c r="L3050" i="1"/>
  <c r="L3049" i="1"/>
  <c r="L3048" i="1"/>
  <c r="L3047" i="1"/>
  <c r="L3046" i="1"/>
  <c r="L3045" i="1"/>
  <c r="L3044" i="1"/>
  <c r="L3043" i="1"/>
  <c r="L3042" i="1"/>
  <c r="L3041" i="1"/>
  <c r="L3040" i="1"/>
  <c r="L3039" i="1"/>
  <c r="L3038" i="1"/>
  <c r="L3037" i="1"/>
  <c r="L3036" i="1"/>
  <c r="L3035" i="1"/>
  <c r="L3034" i="1"/>
  <c r="L3033" i="1"/>
  <c r="L3032" i="1"/>
  <c r="L3031" i="1"/>
  <c r="L3030" i="1"/>
  <c r="L3029" i="1"/>
  <c r="L3028" i="1"/>
  <c r="L3027" i="1"/>
  <c r="L3026" i="1"/>
  <c r="L3025" i="1"/>
  <c r="L3024" i="1"/>
  <c r="L3023" i="1"/>
  <c r="L3022" i="1"/>
  <c r="L3021" i="1"/>
  <c r="L3020" i="1"/>
  <c r="L3019" i="1"/>
  <c r="L3018" i="1"/>
  <c r="L3017" i="1"/>
  <c r="L3016" i="1"/>
  <c r="L3015" i="1"/>
  <c r="L3014" i="1"/>
  <c r="L3013" i="1"/>
  <c r="L3012" i="1"/>
  <c r="L3011" i="1"/>
  <c r="L3010" i="1"/>
  <c r="L3009" i="1"/>
  <c r="L3008" i="1"/>
  <c r="L3007" i="1"/>
  <c r="L3006" i="1"/>
  <c r="L3005" i="1"/>
  <c r="L3004" i="1"/>
  <c r="L3003" i="1"/>
  <c r="L3002" i="1"/>
  <c r="L3001" i="1"/>
  <c r="L3000" i="1"/>
  <c r="L2999" i="1"/>
  <c r="L2998" i="1"/>
  <c r="L2997" i="1"/>
  <c r="L2996" i="1"/>
  <c r="L2995" i="1"/>
  <c r="L2994" i="1"/>
  <c r="L2993" i="1"/>
  <c r="L2992" i="1"/>
  <c r="L2991" i="1"/>
  <c r="L2990" i="1"/>
  <c r="L2989" i="1"/>
  <c r="L2988" i="1"/>
  <c r="L2987" i="1"/>
  <c r="L2986" i="1"/>
  <c r="L2985" i="1"/>
  <c r="L2984" i="1"/>
  <c r="L2983" i="1"/>
  <c r="L2982" i="1"/>
  <c r="L2981" i="1"/>
  <c r="L2980" i="1"/>
  <c r="L2979" i="1"/>
  <c r="L2978" i="1"/>
  <c r="L2977" i="1"/>
  <c r="L2976" i="1"/>
  <c r="L2975" i="1"/>
  <c r="L2974" i="1"/>
  <c r="L2973" i="1"/>
  <c r="L2972" i="1"/>
  <c r="L2971" i="1"/>
  <c r="L2970" i="1"/>
  <c r="L2969" i="1"/>
  <c r="L2968" i="1"/>
  <c r="L2967" i="1"/>
  <c r="L2966" i="1"/>
  <c r="L2965" i="1"/>
  <c r="L2964" i="1"/>
  <c r="L2963" i="1"/>
  <c r="L2962" i="1"/>
  <c r="L2961" i="1"/>
  <c r="L2960" i="1"/>
  <c r="L2959" i="1"/>
  <c r="L2958" i="1"/>
  <c r="L2957" i="1"/>
  <c r="L2956" i="1"/>
  <c r="L2955" i="1"/>
  <c r="L2954" i="1"/>
  <c r="L2953" i="1"/>
  <c r="L2952" i="1"/>
  <c r="L2951" i="1"/>
  <c r="L2950" i="1"/>
  <c r="L2949" i="1"/>
  <c r="L2948" i="1"/>
  <c r="L2947" i="1"/>
  <c r="L2946" i="1"/>
  <c r="L2945" i="1"/>
  <c r="L2944" i="1"/>
  <c r="L2943" i="1"/>
  <c r="L2942" i="1"/>
  <c r="L2941" i="1"/>
  <c r="L2940" i="1"/>
  <c r="L2939" i="1"/>
  <c r="L2938" i="1"/>
  <c r="L2937" i="1"/>
  <c r="L2936" i="1"/>
  <c r="L2935" i="1"/>
  <c r="L2934" i="1"/>
  <c r="L2933" i="1"/>
  <c r="L2932" i="1"/>
  <c r="L2931" i="1"/>
  <c r="L2930" i="1"/>
  <c r="L2929" i="1"/>
  <c r="L2928" i="1"/>
  <c r="L2927" i="1"/>
  <c r="L2926" i="1"/>
  <c r="L2925" i="1"/>
  <c r="L2924" i="1"/>
  <c r="L2923" i="1"/>
  <c r="L2922" i="1"/>
  <c r="L2921" i="1"/>
  <c r="L2920" i="1"/>
  <c r="L2919" i="1"/>
  <c r="L2918" i="1"/>
  <c r="L2917" i="1"/>
  <c r="L2916" i="1"/>
  <c r="L2915" i="1"/>
  <c r="L2914" i="1"/>
  <c r="L2913" i="1"/>
  <c r="L2912" i="1"/>
  <c r="L2911" i="1"/>
  <c r="L2910" i="1"/>
  <c r="L2909" i="1"/>
  <c r="L2908" i="1"/>
  <c r="L2907" i="1"/>
  <c r="L2906" i="1"/>
  <c r="L2905" i="1"/>
  <c r="L2904" i="1"/>
  <c r="L2903" i="1"/>
  <c r="L2902" i="1"/>
  <c r="L2901" i="1"/>
  <c r="L2900" i="1"/>
  <c r="L2899" i="1"/>
  <c r="L2898" i="1"/>
  <c r="L2897" i="1"/>
  <c r="L2896" i="1"/>
  <c r="L2895" i="1"/>
  <c r="L2894" i="1"/>
  <c r="L2893" i="1"/>
  <c r="L2892" i="1"/>
  <c r="L2891" i="1"/>
  <c r="L2890" i="1"/>
  <c r="L2889" i="1"/>
  <c r="L2888" i="1"/>
  <c r="L2887" i="1"/>
  <c r="L2886" i="1"/>
  <c r="L2885" i="1"/>
  <c r="L2884" i="1"/>
  <c r="L2883" i="1"/>
  <c r="L2882" i="1"/>
  <c r="L2881" i="1"/>
  <c r="L2880" i="1"/>
  <c r="L2879" i="1"/>
  <c r="L2878" i="1"/>
  <c r="L2877" i="1"/>
  <c r="L2876" i="1"/>
  <c r="L2875" i="1"/>
  <c r="L2874" i="1"/>
  <c r="L2873" i="1"/>
  <c r="L2872" i="1"/>
  <c r="L2871" i="1"/>
  <c r="L2870" i="1"/>
  <c r="L2869" i="1"/>
  <c r="L2868" i="1"/>
  <c r="L2867" i="1"/>
  <c r="L2866" i="1"/>
  <c r="L2865" i="1"/>
  <c r="L2864" i="1"/>
  <c r="L2863" i="1"/>
  <c r="L2862" i="1"/>
  <c r="L2861" i="1"/>
  <c r="L2860" i="1"/>
  <c r="L2859" i="1"/>
  <c r="L2858" i="1"/>
  <c r="L2857" i="1"/>
  <c r="L2856" i="1"/>
  <c r="L2855" i="1"/>
  <c r="L2854" i="1"/>
  <c r="L2853" i="1"/>
  <c r="L2852" i="1"/>
  <c r="L2851" i="1"/>
  <c r="L2850" i="1"/>
  <c r="L2849" i="1"/>
  <c r="L2848" i="1"/>
  <c r="L2847" i="1"/>
  <c r="L2846" i="1"/>
  <c r="L2845" i="1"/>
  <c r="L2844" i="1"/>
  <c r="L2843" i="1"/>
  <c r="L2842" i="1"/>
  <c r="L2841" i="1"/>
  <c r="L2840" i="1"/>
  <c r="L2839" i="1"/>
  <c r="L2838" i="1"/>
  <c r="L2837" i="1"/>
  <c r="L2836" i="1"/>
  <c r="L2835" i="1"/>
  <c r="L2834" i="1"/>
  <c r="L2833" i="1"/>
  <c r="L2832" i="1"/>
  <c r="L2831" i="1"/>
  <c r="L2830" i="1"/>
  <c r="L2829" i="1"/>
  <c r="L2828" i="1"/>
  <c r="L2827" i="1"/>
  <c r="L2826" i="1"/>
  <c r="L2825" i="1"/>
  <c r="L2824" i="1"/>
  <c r="L2823" i="1"/>
  <c r="L2822" i="1"/>
  <c r="L2821" i="1"/>
  <c r="L2820" i="1"/>
  <c r="L2819" i="1"/>
  <c r="L2818" i="1"/>
  <c r="L2817" i="1"/>
  <c r="L2816" i="1"/>
  <c r="L2815" i="1"/>
  <c r="L2814" i="1"/>
  <c r="L2813" i="1"/>
  <c r="L2812" i="1"/>
  <c r="L2811" i="1"/>
  <c r="L2810" i="1"/>
  <c r="L2809" i="1"/>
  <c r="L2808" i="1"/>
  <c r="L2807" i="1"/>
  <c r="L2806" i="1"/>
  <c r="L2805" i="1"/>
  <c r="L2804" i="1"/>
  <c r="L2803" i="1"/>
  <c r="L2802" i="1"/>
  <c r="L2801" i="1"/>
  <c r="L2800" i="1"/>
  <c r="L2799" i="1"/>
  <c r="L2798" i="1"/>
  <c r="L2797" i="1"/>
  <c r="L2796" i="1"/>
  <c r="L2795" i="1"/>
  <c r="L2794" i="1"/>
  <c r="L2793" i="1"/>
  <c r="L2792" i="1"/>
  <c r="L2791" i="1"/>
  <c r="L2790" i="1"/>
  <c r="L2789" i="1"/>
  <c r="L2788" i="1"/>
  <c r="L2787" i="1"/>
  <c r="L2786" i="1"/>
  <c r="L2785" i="1"/>
  <c r="L2784" i="1"/>
  <c r="L2783" i="1"/>
  <c r="L2782" i="1"/>
  <c r="L2781" i="1"/>
  <c r="L2780" i="1"/>
  <c r="L2779" i="1"/>
  <c r="L2778" i="1"/>
  <c r="L2777" i="1"/>
  <c r="L2776" i="1"/>
  <c r="L2775" i="1"/>
  <c r="L2774" i="1"/>
  <c r="L2773" i="1"/>
  <c r="L2772" i="1"/>
  <c r="L2771" i="1"/>
  <c r="L2770" i="1"/>
  <c r="L2769" i="1"/>
  <c r="L2768" i="1"/>
  <c r="L2767" i="1"/>
  <c r="L2766" i="1"/>
  <c r="L2765" i="1"/>
  <c r="L2764" i="1"/>
  <c r="L2763" i="1"/>
  <c r="L2762" i="1"/>
  <c r="L2761" i="1"/>
  <c r="L2760" i="1"/>
  <c r="L2759" i="1"/>
  <c r="L2758" i="1"/>
  <c r="L2757" i="1"/>
  <c r="L2756" i="1"/>
  <c r="L2755" i="1"/>
  <c r="L2754" i="1"/>
  <c r="L2753" i="1"/>
  <c r="L2752" i="1"/>
  <c r="L2751" i="1"/>
  <c r="L2750" i="1"/>
  <c r="L2749" i="1"/>
  <c r="L2748" i="1"/>
  <c r="L2747" i="1"/>
  <c r="L2746" i="1"/>
  <c r="L2745" i="1"/>
  <c r="L2744" i="1"/>
  <c r="L2743" i="1"/>
  <c r="L2742" i="1"/>
  <c r="L2741" i="1"/>
  <c r="L2740" i="1"/>
  <c r="L2739" i="1"/>
  <c r="L2738" i="1"/>
  <c r="L2737" i="1"/>
  <c r="L2736" i="1"/>
  <c r="L2735" i="1"/>
  <c r="L2734" i="1"/>
  <c r="L2733" i="1"/>
  <c r="L2732" i="1"/>
  <c r="L2731" i="1"/>
  <c r="L2730" i="1"/>
  <c r="L2729" i="1"/>
  <c r="L2728" i="1"/>
  <c r="L2727" i="1"/>
  <c r="L2726" i="1"/>
  <c r="L2725" i="1"/>
  <c r="L2724" i="1"/>
  <c r="L2723" i="1"/>
  <c r="L2722" i="1"/>
  <c r="L2721" i="1"/>
  <c r="L2720" i="1"/>
  <c r="L2719" i="1"/>
  <c r="L2718" i="1"/>
  <c r="L2717" i="1"/>
  <c r="L2716" i="1"/>
  <c r="L2715" i="1"/>
  <c r="L2714" i="1"/>
  <c r="L2713" i="1"/>
  <c r="L2712" i="1"/>
  <c r="L2711" i="1"/>
  <c r="L2710" i="1"/>
  <c r="L2709" i="1"/>
  <c r="L2708" i="1"/>
  <c r="L2707" i="1"/>
  <c r="L2706" i="1"/>
  <c r="L2705" i="1"/>
  <c r="L2704" i="1"/>
  <c r="L2703" i="1"/>
  <c r="L2702" i="1"/>
  <c r="L2701" i="1"/>
  <c r="L2700" i="1"/>
  <c r="L2699" i="1"/>
  <c r="L2698" i="1"/>
  <c r="L2697" i="1"/>
  <c r="L2696" i="1"/>
  <c r="L2695" i="1"/>
  <c r="L2694" i="1"/>
  <c r="L2693" i="1"/>
  <c r="L2692" i="1"/>
  <c r="L2691" i="1"/>
  <c r="L2690" i="1"/>
  <c r="L2689" i="1"/>
  <c r="L2688" i="1"/>
  <c r="L2687" i="1"/>
  <c r="L2686" i="1"/>
  <c r="L2685" i="1"/>
  <c r="L2684" i="1"/>
  <c r="L2683" i="1"/>
  <c r="L2682" i="1"/>
  <c r="L2681" i="1"/>
  <c r="L2680" i="1"/>
  <c r="L2679" i="1"/>
  <c r="L2678" i="1"/>
  <c r="L2677" i="1"/>
  <c r="L2676" i="1"/>
  <c r="L2675" i="1"/>
  <c r="L2674" i="1"/>
  <c r="L2673" i="1"/>
  <c r="L2672" i="1"/>
  <c r="L2671" i="1"/>
  <c r="L2670" i="1"/>
  <c r="L2669" i="1"/>
  <c r="L2668" i="1"/>
  <c r="L2667" i="1"/>
  <c r="L2666" i="1"/>
  <c r="L2665" i="1"/>
  <c r="L2664" i="1"/>
  <c r="L2663" i="1"/>
  <c r="L2662" i="1"/>
  <c r="L2661" i="1"/>
  <c r="L2660" i="1"/>
  <c r="L2659" i="1"/>
  <c r="L2658" i="1"/>
  <c r="L2657" i="1"/>
  <c r="L2656" i="1"/>
  <c r="L2655" i="1"/>
  <c r="L2654" i="1"/>
  <c r="L2653" i="1"/>
  <c r="L2652" i="1"/>
  <c r="L2651" i="1"/>
  <c r="L2650" i="1"/>
  <c r="L2649" i="1"/>
  <c r="L2648" i="1"/>
  <c r="L2647" i="1"/>
  <c r="L2646" i="1"/>
  <c r="L2645" i="1"/>
  <c r="L2644" i="1"/>
  <c r="L2643" i="1"/>
  <c r="L2642" i="1"/>
  <c r="L2641" i="1"/>
  <c r="L2640" i="1"/>
  <c r="L2639" i="1"/>
  <c r="L2638" i="1"/>
  <c r="L2637" i="1"/>
  <c r="L2636" i="1"/>
  <c r="L2635" i="1"/>
  <c r="L2634" i="1"/>
  <c r="L2633" i="1"/>
  <c r="L2632" i="1"/>
  <c r="L2631" i="1"/>
  <c r="L2630" i="1"/>
  <c r="L2629" i="1"/>
  <c r="L2628" i="1"/>
  <c r="L2627" i="1"/>
  <c r="L2626" i="1"/>
  <c r="L2625" i="1"/>
  <c r="L2624" i="1"/>
  <c r="L2623" i="1"/>
  <c r="L2622" i="1"/>
  <c r="L2621" i="1"/>
  <c r="L2620" i="1"/>
  <c r="L2619" i="1"/>
  <c r="L2618" i="1"/>
  <c r="L2617" i="1"/>
  <c r="L2616" i="1"/>
  <c r="L2615" i="1"/>
  <c r="L2614" i="1"/>
  <c r="L2613" i="1"/>
  <c r="L2612" i="1"/>
  <c r="L2611" i="1"/>
  <c r="L2610" i="1"/>
  <c r="L2609" i="1"/>
  <c r="L2608" i="1"/>
  <c r="L2607" i="1"/>
  <c r="L2606" i="1"/>
  <c r="L2605" i="1"/>
  <c r="L2604" i="1"/>
  <c r="L2603" i="1"/>
  <c r="L2602" i="1"/>
  <c r="L2601" i="1"/>
  <c r="L2600" i="1"/>
  <c r="L2599" i="1"/>
  <c r="L2598" i="1"/>
  <c r="L2597" i="1"/>
  <c r="L2596" i="1"/>
  <c r="L2595" i="1"/>
  <c r="L2594" i="1"/>
  <c r="L2593" i="1"/>
  <c r="L2592" i="1"/>
  <c r="L2591" i="1"/>
  <c r="L2590" i="1"/>
  <c r="L2589" i="1"/>
  <c r="L2588" i="1"/>
  <c r="L2587" i="1"/>
  <c r="L2586" i="1"/>
  <c r="L2585" i="1"/>
  <c r="L2584" i="1"/>
  <c r="L2583" i="1"/>
  <c r="L2582" i="1"/>
  <c r="L2581" i="1"/>
  <c r="L2580" i="1"/>
  <c r="L2579" i="1"/>
  <c r="L2578" i="1"/>
  <c r="L2577" i="1"/>
  <c r="L2576" i="1"/>
  <c r="L2575" i="1"/>
  <c r="L2574" i="1"/>
  <c r="L2573" i="1"/>
  <c r="L2572" i="1"/>
  <c r="L2571" i="1"/>
  <c r="L2570" i="1"/>
  <c r="L2569" i="1"/>
  <c r="L2568" i="1"/>
  <c r="L2567" i="1"/>
  <c r="L2566" i="1"/>
  <c r="L2565" i="1"/>
  <c r="L2564" i="1"/>
  <c r="L2563" i="1"/>
  <c r="L2562" i="1"/>
  <c r="L2561" i="1"/>
  <c r="L2560" i="1"/>
  <c r="L2559" i="1"/>
  <c r="L2558" i="1"/>
  <c r="L2557" i="1"/>
  <c r="L2556" i="1"/>
  <c r="L2555" i="1"/>
  <c r="L2554" i="1"/>
  <c r="L2553" i="1"/>
  <c r="L2552" i="1"/>
  <c r="L2551" i="1"/>
  <c r="L2550" i="1"/>
  <c r="L2549" i="1"/>
  <c r="L2548" i="1"/>
  <c r="L2547" i="1"/>
  <c r="L2546" i="1"/>
  <c r="L2545" i="1"/>
  <c r="L2544" i="1"/>
  <c r="L2543" i="1"/>
  <c r="L2542" i="1"/>
  <c r="L2541" i="1"/>
  <c r="L2540" i="1"/>
  <c r="L2539" i="1"/>
  <c r="L2538" i="1"/>
  <c r="L2537" i="1"/>
  <c r="L2536" i="1"/>
  <c r="L2535" i="1"/>
  <c r="L2534" i="1"/>
  <c r="L2533" i="1"/>
  <c r="L2532" i="1"/>
  <c r="L2531" i="1"/>
  <c r="L2530" i="1"/>
  <c r="L2529" i="1"/>
  <c r="L2528" i="1"/>
  <c r="L2527" i="1"/>
  <c r="L2526" i="1"/>
  <c r="L2525" i="1"/>
  <c r="L2524" i="1"/>
  <c r="L2523" i="1"/>
  <c r="L2522" i="1"/>
  <c r="L2521" i="1"/>
  <c r="L2520" i="1"/>
  <c r="L2519" i="1"/>
  <c r="L2518" i="1"/>
  <c r="L2517" i="1"/>
  <c r="L2516" i="1"/>
  <c r="L2515" i="1"/>
  <c r="L2514" i="1"/>
  <c r="L2513" i="1"/>
  <c r="L2512" i="1"/>
  <c r="L2511" i="1"/>
  <c r="L2510" i="1"/>
  <c r="L2509" i="1"/>
  <c r="L2508" i="1"/>
  <c r="L2507" i="1"/>
  <c r="L2506" i="1"/>
  <c r="L2505" i="1"/>
  <c r="L2504" i="1"/>
  <c r="L2503" i="1"/>
  <c r="L2502" i="1"/>
  <c r="L2501" i="1"/>
  <c r="L2500" i="1"/>
  <c r="L2499" i="1"/>
  <c r="L2498" i="1"/>
  <c r="L2497" i="1"/>
  <c r="L2496" i="1"/>
  <c r="L2495" i="1"/>
  <c r="L2494" i="1"/>
  <c r="L2493" i="1"/>
  <c r="L2492" i="1"/>
  <c r="L2491" i="1"/>
  <c r="L2490" i="1"/>
  <c r="L2489" i="1"/>
  <c r="L2488" i="1"/>
  <c r="L2487" i="1"/>
  <c r="L2486" i="1"/>
  <c r="L2485" i="1"/>
  <c r="L2484" i="1"/>
  <c r="L2483" i="1"/>
  <c r="L2482" i="1"/>
  <c r="L2481" i="1"/>
  <c r="L2480" i="1"/>
  <c r="L2479" i="1"/>
  <c r="L2478" i="1"/>
  <c r="L2477" i="1"/>
  <c r="L2476" i="1"/>
  <c r="L2475" i="1"/>
  <c r="L2474" i="1"/>
  <c r="L2473" i="1"/>
  <c r="L2472" i="1"/>
  <c r="L2471" i="1"/>
  <c r="L2470" i="1"/>
  <c r="L2469" i="1"/>
  <c r="L2468" i="1"/>
  <c r="L2467" i="1"/>
  <c r="L2466" i="1"/>
  <c r="L2465" i="1"/>
  <c r="L2464" i="1"/>
  <c r="L2463" i="1"/>
  <c r="L2462" i="1"/>
  <c r="L2461" i="1"/>
  <c r="L2460" i="1"/>
  <c r="L2459" i="1"/>
  <c r="L2458" i="1"/>
  <c r="L2457" i="1"/>
  <c r="L2456" i="1"/>
  <c r="L2455" i="1"/>
  <c r="L2454" i="1"/>
  <c r="L2453" i="1"/>
  <c r="L2452" i="1"/>
  <c r="L2451" i="1"/>
  <c r="L2450" i="1"/>
  <c r="L2449" i="1"/>
  <c r="L2448" i="1"/>
  <c r="L2447" i="1"/>
  <c r="L2446" i="1"/>
  <c r="L2445" i="1"/>
  <c r="L2444" i="1"/>
  <c r="L2443" i="1"/>
  <c r="L2442" i="1"/>
  <c r="L2441" i="1"/>
  <c r="L2440" i="1"/>
  <c r="L2439" i="1"/>
  <c r="L2438" i="1"/>
  <c r="L2437" i="1"/>
  <c r="L2436" i="1"/>
  <c r="L2435" i="1"/>
  <c r="L2434" i="1"/>
  <c r="L2433" i="1"/>
  <c r="L2432" i="1"/>
  <c r="L2431" i="1"/>
  <c r="L2430" i="1"/>
  <c r="L2429" i="1"/>
  <c r="L2428" i="1"/>
  <c r="L2427" i="1"/>
  <c r="L2426" i="1"/>
  <c r="L2425" i="1"/>
  <c r="L2424" i="1"/>
  <c r="L2423" i="1"/>
  <c r="L2422" i="1"/>
  <c r="L2421" i="1"/>
  <c r="L2420" i="1"/>
  <c r="L2419" i="1"/>
  <c r="L2418" i="1"/>
  <c r="L2417" i="1"/>
  <c r="L2416" i="1"/>
  <c r="L2415" i="1"/>
  <c r="L2414" i="1"/>
  <c r="L2413" i="1"/>
  <c r="L2412" i="1"/>
  <c r="L2411" i="1"/>
  <c r="L2410" i="1"/>
  <c r="L2409" i="1"/>
  <c r="L2408" i="1"/>
  <c r="L2407" i="1"/>
  <c r="L2406" i="1"/>
  <c r="L2405" i="1"/>
  <c r="L2404" i="1"/>
  <c r="L2403" i="1"/>
  <c r="L2402" i="1"/>
  <c r="L2401" i="1"/>
  <c r="L2400" i="1"/>
  <c r="L2399" i="1"/>
  <c r="L2398" i="1"/>
  <c r="L2397" i="1"/>
  <c r="L2396" i="1"/>
  <c r="L2395" i="1"/>
  <c r="L2394" i="1"/>
  <c r="L2393" i="1"/>
  <c r="L2392" i="1"/>
  <c r="L2391" i="1"/>
  <c r="L2390" i="1"/>
  <c r="L2389" i="1"/>
  <c r="L2388" i="1"/>
  <c r="L2387" i="1"/>
  <c r="L2386" i="1"/>
  <c r="L2385" i="1"/>
  <c r="L2384" i="1"/>
  <c r="L2383" i="1"/>
  <c r="L2382" i="1"/>
  <c r="L2381" i="1"/>
  <c r="L2380" i="1"/>
  <c r="L2379" i="1"/>
  <c r="L2378" i="1"/>
  <c r="L2377" i="1"/>
  <c r="L2376" i="1"/>
  <c r="L2375" i="1"/>
  <c r="L2374" i="1"/>
  <c r="L2373" i="1"/>
  <c r="L2372" i="1"/>
  <c r="L2371" i="1"/>
  <c r="L2370" i="1"/>
  <c r="L2369" i="1"/>
  <c r="L2368" i="1"/>
  <c r="L2367" i="1"/>
  <c r="L2366" i="1"/>
  <c r="L2365" i="1"/>
  <c r="L2364" i="1"/>
  <c r="L2363" i="1"/>
  <c r="L2362" i="1"/>
  <c r="L2361" i="1"/>
  <c r="L2360" i="1"/>
  <c r="L2359" i="1"/>
  <c r="L2358" i="1"/>
  <c r="L2357" i="1"/>
  <c r="L2356" i="1"/>
  <c r="L2355" i="1"/>
  <c r="L2354" i="1"/>
  <c r="L2353" i="1"/>
  <c r="L2352" i="1"/>
  <c r="L2351" i="1"/>
  <c r="L2350" i="1"/>
  <c r="L2349" i="1"/>
  <c r="L2348" i="1"/>
  <c r="L2347" i="1"/>
  <c r="L2346" i="1"/>
  <c r="L2345" i="1"/>
  <c r="L2344" i="1"/>
  <c r="L2343" i="1"/>
  <c r="L2342" i="1"/>
  <c r="L2341" i="1"/>
  <c r="L2340" i="1"/>
  <c r="L2339" i="1"/>
  <c r="L2338" i="1"/>
  <c r="L2337" i="1"/>
  <c r="L2336" i="1"/>
  <c r="L2335" i="1"/>
  <c r="L2334" i="1"/>
  <c r="L2333" i="1"/>
  <c r="L2332" i="1"/>
  <c r="L2331" i="1"/>
  <c r="L2330" i="1"/>
  <c r="L2329" i="1"/>
  <c r="L2328" i="1"/>
  <c r="L2327" i="1"/>
  <c r="L2326" i="1"/>
  <c r="L2325" i="1"/>
  <c r="L2324" i="1"/>
  <c r="L2323" i="1"/>
  <c r="L2322" i="1"/>
  <c r="L2321" i="1"/>
  <c r="L2320" i="1"/>
  <c r="L2319" i="1"/>
  <c r="L2318" i="1"/>
  <c r="L2317" i="1"/>
  <c r="L2316" i="1"/>
  <c r="L2315" i="1"/>
  <c r="L2314" i="1"/>
  <c r="L2313" i="1"/>
  <c r="L2312" i="1"/>
  <c r="L2311" i="1"/>
  <c r="L2310" i="1"/>
  <c r="L2309" i="1"/>
  <c r="L2308" i="1"/>
  <c r="L2307" i="1"/>
  <c r="L2306" i="1"/>
  <c r="L2305" i="1"/>
  <c r="L2304" i="1"/>
  <c r="L2303" i="1"/>
  <c r="L2302" i="1"/>
  <c r="L2301" i="1"/>
  <c r="L2300" i="1"/>
  <c r="L2299" i="1"/>
  <c r="L2298" i="1"/>
  <c r="L2297" i="1"/>
  <c r="L2296" i="1"/>
  <c r="L2295" i="1"/>
  <c r="L2294" i="1"/>
  <c r="L2293" i="1"/>
  <c r="L2292" i="1"/>
  <c r="L2291" i="1"/>
  <c r="L2290" i="1"/>
  <c r="L2289" i="1"/>
  <c r="L2288" i="1"/>
  <c r="L2287" i="1"/>
  <c r="L2286" i="1"/>
  <c r="L2285" i="1"/>
  <c r="L2284" i="1"/>
  <c r="L2283" i="1"/>
  <c r="L2282" i="1"/>
  <c r="L2281" i="1"/>
  <c r="L2280" i="1"/>
  <c r="L2279" i="1"/>
  <c r="L2278" i="1"/>
  <c r="L2277" i="1"/>
  <c r="L2276" i="1"/>
  <c r="L2275" i="1"/>
  <c r="L2274" i="1"/>
  <c r="L2273" i="1"/>
  <c r="L2272" i="1"/>
  <c r="L2271" i="1"/>
  <c r="L2270" i="1"/>
  <c r="L2269" i="1"/>
  <c r="L2268" i="1"/>
  <c r="L2267" i="1"/>
  <c r="L2266" i="1"/>
  <c r="L2265" i="1"/>
  <c r="L2264" i="1"/>
  <c r="L2263" i="1"/>
  <c r="L2262" i="1"/>
  <c r="L2261" i="1"/>
  <c r="L2260" i="1"/>
  <c r="L2259" i="1"/>
  <c r="L2258" i="1"/>
  <c r="L2257" i="1"/>
  <c r="L2256" i="1"/>
  <c r="L2255" i="1"/>
  <c r="L2254" i="1"/>
  <c r="L2253" i="1"/>
  <c r="L2252" i="1"/>
  <c r="L2251" i="1"/>
  <c r="L2250" i="1"/>
  <c r="L2249" i="1"/>
  <c r="L2248" i="1"/>
  <c r="L2247" i="1"/>
  <c r="L2246" i="1"/>
  <c r="L2245" i="1"/>
  <c r="L2244" i="1"/>
  <c r="L2243" i="1"/>
  <c r="L2242" i="1"/>
  <c r="L2241" i="1"/>
  <c r="L2240" i="1"/>
  <c r="L2239" i="1"/>
  <c r="L2238" i="1"/>
  <c r="L2237" i="1"/>
  <c r="L2236" i="1"/>
  <c r="L2235" i="1"/>
  <c r="L2234" i="1"/>
  <c r="L2233" i="1"/>
  <c r="L2232" i="1"/>
  <c r="L2231" i="1"/>
  <c r="L2230" i="1"/>
  <c r="L2229" i="1"/>
  <c r="L2228" i="1"/>
  <c r="L2227" i="1"/>
  <c r="L2226" i="1"/>
  <c r="L2225" i="1"/>
  <c r="L2224" i="1"/>
  <c r="L2223" i="1"/>
  <c r="L2222" i="1"/>
  <c r="L2221" i="1"/>
  <c r="L2220" i="1"/>
  <c r="L2219" i="1"/>
  <c r="L2218" i="1"/>
  <c r="L2217" i="1"/>
  <c r="L2216" i="1"/>
  <c r="L2215" i="1"/>
  <c r="L2214" i="1"/>
  <c r="L2213" i="1"/>
  <c r="L2212" i="1"/>
  <c r="L2211" i="1"/>
  <c r="L2210" i="1"/>
  <c r="L2209" i="1"/>
  <c r="L2208" i="1"/>
  <c r="L2207" i="1"/>
  <c r="L2206" i="1"/>
  <c r="L2205" i="1"/>
  <c r="L2204" i="1"/>
  <c r="L2203" i="1"/>
  <c r="L2202" i="1"/>
  <c r="L2201" i="1"/>
  <c r="L2200" i="1"/>
  <c r="L2199" i="1"/>
  <c r="L2198" i="1"/>
  <c r="L2197" i="1"/>
  <c r="L2196" i="1"/>
  <c r="L2195" i="1"/>
  <c r="L2194" i="1"/>
  <c r="L2193" i="1"/>
  <c r="L2192" i="1"/>
  <c r="L2191" i="1"/>
  <c r="L2190" i="1"/>
  <c r="L2189" i="1"/>
  <c r="L2188" i="1"/>
  <c r="L2187" i="1"/>
  <c r="L2186" i="1"/>
  <c r="L2185" i="1"/>
  <c r="L2184" i="1"/>
  <c r="L2183" i="1"/>
  <c r="L2182" i="1"/>
  <c r="L2181" i="1"/>
  <c r="L2180" i="1"/>
  <c r="L2179" i="1"/>
  <c r="L2178" i="1"/>
  <c r="L2177" i="1"/>
  <c r="L2176" i="1"/>
  <c r="L2175" i="1"/>
  <c r="L2174" i="1"/>
  <c r="L2173" i="1"/>
  <c r="L2172" i="1"/>
  <c r="L2171" i="1"/>
  <c r="L2170" i="1"/>
  <c r="L2169" i="1"/>
  <c r="L2168" i="1"/>
  <c r="L2167" i="1"/>
  <c r="L2166" i="1"/>
  <c r="L2165" i="1"/>
  <c r="L2164" i="1"/>
  <c r="L2163" i="1"/>
  <c r="L2162" i="1"/>
  <c r="L2161" i="1"/>
  <c r="L2160" i="1"/>
  <c r="L2159" i="1"/>
  <c r="L2158" i="1"/>
  <c r="L2157" i="1"/>
  <c r="L2156" i="1"/>
  <c r="L2155" i="1"/>
  <c r="L2154" i="1"/>
  <c r="L2153" i="1"/>
  <c r="L2152" i="1"/>
  <c r="L2151" i="1"/>
  <c r="L2150" i="1"/>
  <c r="L2149" i="1"/>
  <c r="L2148" i="1"/>
  <c r="L2147" i="1"/>
  <c r="L2146" i="1"/>
  <c r="L2145" i="1"/>
  <c r="L2144" i="1"/>
  <c r="L2143" i="1"/>
  <c r="L2142" i="1"/>
  <c r="L2141" i="1"/>
  <c r="L2140" i="1"/>
  <c r="L2139" i="1"/>
  <c r="L2138" i="1"/>
  <c r="L2137" i="1"/>
  <c r="L2136" i="1"/>
  <c r="L2135" i="1"/>
  <c r="L2134" i="1"/>
  <c r="L2133" i="1"/>
  <c r="L2132" i="1"/>
  <c r="L2131" i="1"/>
  <c r="L2130" i="1"/>
  <c r="L2129" i="1"/>
  <c r="L2128" i="1"/>
  <c r="L2127" i="1"/>
  <c r="L2126" i="1"/>
  <c r="L2125" i="1"/>
  <c r="L2124" i="1"/>
  <c r="L2123" i="1"/>
  <c r="L2122" i="1"/>
  <c r="L2121" i="1"/>
  <c r="L2120" i="1"/>
  <c r="L2119" i="1"/>
  <c r="L2118" i="1"/>
  <c r="L2117" i="1"/>
  <c r="L2116" i="1"/>
  <c r="L2115" i="1"/>
  <c r="L2114" i="1"/>
  <c r="L2113" i="1"/>
  <c r="L2112" i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09" i="1"/>
  <c r="A909" i="1"/>
  <c r="L908" i="1"/>
  <c r="A908" i="1"/>
  <c r="L907" i="1"/>
  <c r="A907" i="1"/>
  <c r="L906" i="1"/>
  <c r="A906" i="1"/>
  <c r="L905" i="1"/>
  <c r="A905" i="1"/>
  <c r="L904" i="1"/>
  <c r="A904" i="1"/>
  <c r="L903" i="1"/>
  <c r="A903" i="1"/>
  <c r="L902" i="1"/>
  <c r="A902" i="1"/>
  <c r="L901" i="1"/>
  <c r="A901" i="1"/>
  <c r="L900" i="1"/>
  <c r="A900" i="1"/>
  <c r="L899" i="1"/>
  <c r="A899" i="1"/>
  <c r="L898" i="1"/>
  <c r="A898" i="1"/>
  <c r="L897" i="1"/>
  <c r="A897" i="1"/>
  <c r="L896" i="1"/>
  <c r="A896" i="1"/>
  <c r="L895" i="1"/>
  <c r="A895" i="1"/>
  <c r="L894" i="1"/>
  <c r="A894" i="1"/>
  <c r="L893" i="1"/>
  <c r="A893" i="1"/>
  <c r="L892" i="1"/>
  <c r="A892" i="1"/>
  <c r="L891" i="1"/>
  <c r="A891" i="1"/>
  <c r="L890" i="1"/>
  <c r="A890" i="1"/>
  <c r="L889" i="1"/>
  <c r="A889" i="1"/>
  <c r="L888" i="1"/>
  <c r="A888" i="1"/>
  <c r="L887" i="1"/>
  <c r="A887" i="1"/>
  <c r="L886" i="1"/>
  <c r="A886" i="1"/>
  <c r="L885" i="1"/>
  <c r="A885" i="1"/>
  <c r="L884" i="1"/>
  <c r="A884" i="1"/>
  <c r="L883" i="1"/>
  <c r="A883" i="1"/>
  <c r="L882" i="1"/>
  <c r="A882" i="1"/>
  <c r="L881" i="1"/>
  <c r="A881" i="1"/>
  <c r="L880" i="1"/>
  <c r="A880" i="1"/>
  <c r="L879" i="1"/>
  <c r="A879" i="1"/>
  <c r="L878" i="1"/>
  <c r="A878" i="1"/>
  <c r="L877" i="1"/>
  <c r="A877" i="1"/>
  <c r="L876" i="1"/>
  <c r="A876" i="1"/>
  <c r="L875" i="1"/>
  <c r="A875" i="1"/>
  <c r="L874" i="1"/>
  <c r="A874" i="1"/>
  <c r="L873" i="1"/>
  <c r="A873" i="1"/>
  <c r="L872" i="1"/>
  <c r="A872" i="1"/>
  <c r="L871" i="1"/>
  <c r="A871" i="1"/>
  <c r="L870" i="1"/>
  <c r="A870" i="1"/>
  <c r="L869" i="1"/>
  <c r="A869" i="1"/>
  <c r="L868" i="1"/>
  <c r="A868" i="1"/>
  <c r="L867" i="1"/>
  <c r="A867" i="1"/>
  <c r="L866" i="1"/>
  <c r="A866" i="1"/>
  <c r="L865" i="1"/>
  <c r="A865" i="1"/>
  <c r="L864" i="1"/>
  <c r="A864" i="1"/>
  <c r="L863" i="1"/>
  <c r="A863" i="1"/>
  <c r="L862" i="1"/>
  <c r="A862" i="1"/>
  <c r="L861" i="1"/>
  <c r="A861" i="1"/>
  <c r="L860" i="1"/>
  <c r="A860" i="1"/>
  <c r="L859" i="1"/>
  <c r="A859" i="1"/>
  <c r="L858" i="1"/>
  <c r="A858" i="1"/>
  <c r="L857" i="1"/>
  <c r="A857" i="1"/>
  <c r="L856" i="1"/>
  <c r="A856" i="1"/>
  <c r="L855" i="1"/>
  <c r="A855" i="1"/>
  <c r="L854" i="1"/>
  <c r="A854" i="1"/>
  <c r="L853" i="1"/>
  <c r="A853" i="1"/>
  <c r="L852" i="1"/>
  <c r="A852" i="1"/>
  <c r="L851" i="1"/>
  <c r="A851" i="1"/>
  <c r="L850" i="1"/>
  <c r="A850" i="1"/>
  <c r="L849" i="1"/>
  <c r="A849" i="1"/>
  <c r="L848" i="1"/>
  <c r="A848" i="1"/>
  <c r="L847" i="1"/>
  <c r="A847" i="1"/>
  <c r="L846" i="1"/>
  <c r="A846" i="1"/>
  <c r="L845" i="1"/>
  <c r="A845" i="1"/>
  <c r="L844" i="1"/>
  <c r="A844" i="1"/>
  <c r="L843" i="1"/>
  <c r="A843" i="1"/>
  <c r="L842" i="1"/>
  <c r="A842" i="1"/>
  <c r="L841" i="1"/>
  <c r="A841" i="1"/>
  <c r="L840" i="1"/>
  <c r="A840" i="1"/>
  <c r="L839" i="1"/>
  <c r="A839" i="1"/>
  <c r="L838" i="1"/>
  <c r="A838" i="1"/>
  <c r="L837" i="1"/>
  <c r="A837" i="1"/>
  <c r="L836" i="1"/>
  <c r="A836" i="1"/>
  <c r="L835" i="1"/>
  <c r="A835" i="1"/>
  <c r="L834" i="1"/>
  <c r="A834" i="1"/>
  <c r="L833" i="1"/>
  <c r="A833" i="1"/>
  <c r="L832" i="1"/>
  <c r="A832" i="1"/>
  <c r="L831" i="1"/>
  <c r="A831" i="1"/>
  <c r="L830" i="1"/>
  <c r="A830" i="1"/>
  <c r="L829" i="1"/>
  <c r="A829" i="1"/>
  <c r="L827" i="1"/>
  <c r="A827" i="1"/>
  <c r="L826" i="1"/>
  <c r="A826" i="1"/>
  <c r="L825" i="1"/>
  <c r="A825" i="1"/>
  <c r="L824" i="1"/>
  <c r="A824" i="1"/>
  <c r="L823" i="1"/>
  <c r="A823" i="1"/>
  <c r="L822" i="1"/>
  <c r="A822" i="1"/>
  <c r="L821" i="1"/>
  <c r="A821" i="1"/>
  <c r="L820" i="1"/>
  <c r="A820" i="1"/>
  <c r="L817" i="1"/>
  <c r="A817" i="1"/>
  <c r="L816" i="1"/>
  <c r="A816" i="1"/>
  <c r="L815" i="1"/>
  <c r="A815" i="1"/>
  <c r="L814" i="1"/>
  <c r="A814" i="1"/>
  <c r="L813" i="1"/>
  <c r="A813" i="1"/>
  <c r="L812" i="1"/>
  <c r="A812" i="1"/>
  <c r="L811" i="1"/>
  <c r="A811" i="1"/>
  <c r="L810" i="1"/>
  <c r="A810" i="1"/>
  <c r="L809" i="1"/>
  <c r="A809" i="1"/>
  <c r="L808" i="1"/>
  <c r="A808" i="1"/>
  <c r="L807" i="1"/>
  <c r="A807" i="1"/>
  <c r="L806" i="1"/>
  <c r="A806" i="1"/>
  <c r="L805" i="1"/>
  <c r="A805" i="1"/>
  <c r="L804" i="1"/>
  <c r="A804" i="1"/>
  <c r="L803" i="1"/>
  <c r="A803" i="1"/>
  <c r="L802" i="1"/>
  <c r="A802" i="1"/>
  <c r="L801" i="1"/>
  <c r="A801" i="1"/>
  <c r="L800" i="1"/>
  <c r="A800" i="1"/>
  <c r="L799" i="1"/>
  <c r="A799" i="1"/>
  <c r="L798" i="1"/>
  <c r="A798" i="1"/>
  <c r="L797" i="1"/>
  <c r="A797" i="1"/>
  <c r="L796" i="1"/>
  <c r="A796" i="1"/>
  <c r="L795" i="1"/>
  <c r="A795" i="1"/>
  <c r="L794" i="1"/>
  <c r="A794" i="1"/>
  <c r="L793" i="1"/>
  <c r="A793" i="1"/>
  <c r="L792" i="1"/>
  <c r="A792" i="1"/>
  <c r="L791" i="1"/>
  <c r="A791" i="1"/>
  <c r="L790" i="1"/>
  <c r="A790" i="1"/>
  <c r="L789" i="1"/>
  <c r="A789" i="1"/>
  <c r="L788" i="1"/>
  <c r="A788" i="1"/>
  <c r="L787" i="1"/>
  <c r="A787" i="1"/>
  <c r="L786" i="1"/>
  <c r="A786" i="1"/>
  <c r="L785" i="1"/>
  <c r="A785" i="1"/>
  <c r="L784" i="1"/>
  <c r="A784" i="1"/>
  <c r="L783" i="1"/>
  <c r="A783" i="1"/>
  <c r="L782" i="1"/>
  <c r="A782" i="1"/>
  <c r="L781" i="1"/>
  <c r="A781" i="1"/>
  <c r="L780" i="1"/>
  <c r="A780" i="1"/>
  <c r="L779" i="1"/>
  <c r="A779" i="1"/>
  <c r="L778" i="1"/>
  <c r="A778" i="1"/>
  <c r="L777" i="1"/>
  <c r="A777" i="1"/>
  <c r="L776" i="1"/>
  <c r="A776" i="1"/>
  <c r="L775" i="1"/>
  <c r="A775" i="1"/>
  <c r="L774" i="1"/>
  <c r="A774" i="1"/>
  <c r="L773" i="1"/>
  <c r="A773" i="1"/>
  <c r="L772" i="1"/>
  <c r="A772" i="1"/>
  <c r="L771" i="1"/>
  <c r="A771" i="1"/>
  <c r="L770" i="1"/>
  <c r="A770" i="1"/>
  <c r="L769" i="1"/>
  <c r="A769" i="1"/>
  <c r="L768" i="1"/>
  <c r="A768" i="1"/>
  <c r="L767" i="1"/>
  <c r="A767" i="1"/>
  <c r="L766" i="1"/>
  <c r="A766" i="1"/>
  <c r="L765" i="1"/>
  <c r="A765" i="1"/>
  <c r="L764" i="1"/>
  <c r="A764" i="1"/>
  <c r="L763" i="1"/>
  <c r="A763" i="1"/>
  <c r="L762" i="1"/>
  <c r="A762" i="1"/>
  <c r="L761" i="1"/>
  <c r="A761" i="1"/>
  <c r="L760" i="1"/>
  <c r="A760" i="1"/>
  <c r="L759" i="1"/>
  <c r="A759" i="1"/>
  <c r="L758" i="1"/>
  <c r="A758" i="1"/>
  <c r="L757" i="1"/>
  <c r="A757" i="1"/>
  <c r="L756" i="1"/>
  <c r="A756" i="1"/>
  <c r="L755" i="1"/>
  <c r="A755" i="1"/>
  <c r="L754" i="1"/>
  <c r="A754" i="1"/>
  <c r="L753" i="1"/>
  <c r="A753" i="1"/>
  <c r="L752" i="1"/>
  <c r="A752" i="1"/>
  <c r="L751" i="1"/>
  <c r="A751" i="1"/>
  <c r="L750" i="1"/>
  <c r="A750" i="1"/>
  <c r="L749" i="1"/>
  <c r="A749" i="1"/>
  <c r="L748" i="1"/>
  <c r="A748" i="1"/>
  <c r="L747" i="1"/>
  <c r="A747" i="1"/>
  <c r="L746" i="1"/>
  <c r="A746" i="1"/>
  <c r="L745" i="1"/>
  <c r="A745" i="1"/>
  <c r="L744" i="1"/>
  <c r="A744" i="1"/>
  <c r="L743" i="1"/>
  <c r="A743" i="1"/>
  <c r="L742" i="1"/>
  <c r="A742" i="1"/>
  <c r="L741" i="1"/>
  <c r="A741" i="1"/>
  <c r="L740" i="1"/>
  <c r="A740" i="1"/>
  <c r="L739" i="1"/>
  <c r="A739" i="1"/>
  <c r="L738" i="1"/>
  <c r="A738" i="1"/>
  <c r="L737" i="1"/>
  <c r="A737" i="1"/>
  <c r="L736" i="1"/>
  <c r="A736" i="1"/>
  <c r="L735" i="1"/>
  <c r="A735" i="1"/>
  <c r="L734" i="1"/>
  <c r="A734" i="1"/>
  <c r="L733" i="1"/>
  <c r="A733" i="1"/>
  <c r="L732" i="1"/>
  <c r="A732" i="1"/>
  <c r="L731" i="1"/>
  <c r="A731" i="1"/>
  <c r="L730" i="1"/>
  <c r="A730" i="1"/>
  <c r="L729" i="1"/>
  <c r="A729" i="1"/>
  <c r="L728" i="1"/>
  <c r="A728" i="1"/>
  <c r="L727" i="1"/>
  <c r="A727" i="1"/>
  <c r="L726" i="1"/>
  <c r="A726" i="1"/>
  <c r="L725" i="1"/>
  <c r="A725" i="1"/>
  <c r="L724" i="1"/>
  <c r="A724" i="1"/>
  <c r="L723" i="1"/>
  <c r="A723" i="1"/>
  <c r="L722" i="1"/>
  <c r="A722" i="1"/>
  <c r="L721" i="1"/>
  <c r="A721" i="1"/>
  <c r="L720" i="1"/>
  <c r="A720" i="1"/>
  <c r="L719" i="1"/>
  <c r="A719" i="1"/>
  <c r="L718" i="1"/>
  <c r="A718" i="1"/>
  <c r="L717" i="1"/>
  <c r="A717" i="1"/>
  <c r="L716" i="1"/>
  <c r="A716" i="1"/>
  <c r="L715" i="1"/>
  <c r="A715" i="1"/>
  <c r="L714" i="1"/>
  <c r="A714" i="1"/>
  <c r="L713" i="1"/>
  <c r="A713" i="1"/>
  <c r="L712" i="1"/>
  <c r="A712" i="1"/>
  <c r="L711" i="1"/>
  <c r="A711" i="1"/>
  <c r="L710" i="1"/>
  <c r="A710" i="1"/>
  <c r="L709" i="1"/>
  <c r="A709" i="1"/>
  <c r="L708" i="1"/>
  <c r="A708" i="1"/>
  <c r="L707" i="1"/>
  <c r="A707" i="1"/>
  <c r="L706" i="1"/>
  <c r="A706" i="1"/>
  <c r="L705" i="1"/>
  <c r="A705" i="1"/>
  <c r="L704" i="1"/>
  <c r="A704" i="1"/>
  <c r="L703" i="1"/>
  <c r="A703" i="1"/>
  <c r="L702" i="1"/>
  <c r="A702" i="1"/>
  <c r="L701" i="1"/>
  <c r="A701" i="1"/>
  <c r="L700" i="1"/>
  <c r="A700" i="1"/>
  <c r="L699" i="1"/>
  <c r="A699" i="1"/>
  <c r="L698" i="1"/>
  <c r="A698" i="1"/>
  <c r="L697" i="1"/>
  <c r="A697" i="1"/>
  <c r="L696" i="1"/>
  <c r="A696" i="1"/>
  <c r="L695" i="1"/>
  <c r="A695" i="1"/>
  <c r="L694" i="1"/>
  <c r="A694" i="1"/>
  <c r="L693" i="1"/>
  <c r="A693" i="1"/>
  <c r="L692" i="1"/>
  <c r="A692" i="1"/>
  <c r="L691" i="1"/>
  <c r="A691" i="1"/>
  <c r="L690" i="1"/>
  <c r="A690" i="1"/>
  <c r="L689" i="1"/>
  <c r="A689" i="1"/>
  <c r="L688" i="1"/>
  <c r="A688" i="1"/>
  <c r="L687" i="1"/>
  <c r="A687" i="1"/>
  <c r="L686" i="1"/>
  <c r="A686" i="1"/>
  <c r="L685" i="1"/>
  <c r="A685" i="1"/>
  <c r="L684" i="1"/>
  <c r="A684" i="1"/>
  <c r="L683" i="1"/>
  <c r="A683" i="1"/>
  <c r="L682" i="1"/>
  <c r="A682" i="1"/>
  <c r="L681" i="1"/>
  <c r="A681" i="1"/>
  <c r="L680" i="1"/>
  <c r="A680" i="1"/>
  <c r="L679" i="1"/>
  <c r="A679" i="1"/>
  <c r="L678" i="1"/>
  <c r="A678" i="1"/>
  <c r="L677" i="1"/>
  <c r="A677" i="1"/>
  <c r="L676" i="1"/>
  <c r="A676" i="1"/>
  <c r="L675" i="1"/>
  <c r="A675" i="1"/>
  <c r="L674" i="1"/>
  <c r="A674" i="1"/>
  <c r="L673" i="1"/>
  <c r="A673" i="1"/>
  <c r="L672" i="1"/>
  <c r="A672" i="1"/>
  <c r="L671" i="1"/>
  <c r="A671" i="1"/>
  <c r="L670" i="1"/>
  <c r="A670" i="1"/>
  <c r="L669" i="1"/>
  <c r="A669" i="1"/>
  <c r="L668" i="1"/>
  <c r="A668" i="1"/>
  <c r="L667" i="1"/>
  <c r="A667" i="1"/>
  <c r="L666" i="1"/>
  <c r="A666" i="1"/>
  <c r="L665" i="1"/>
  <c r="A665" i="1"/>
  <c r="L664" i="1"/>
  <c r="A664" i="1"/>
  <c r="L663" i="1"/>
  <c r="A663" i="1"/>
  <c r="L662" i="1"/>
  <c r="A662" i="1"/>
  <c r="L661" i="1"/>
  <c r="A661" i="1"/>
  <c r="L660" i="1"/>
  <c r="A660" i="1"/>
  <c r="L659" i="1"/>
  <c r="A659" i="1"/>
  <c r="L658" i="1"/>
  <c r="A658" i="1"/>
  <c r="L657" i="1"/>
  <c r="A657" i="1"/>
  <c r="L656" i="1"/>
  <c r="A656" i="1"/>
  <c r="L655" i="1"/>
  <c r="A655" i="1"/>
  <c r="L654" i="1"/>
  <c r="A654" i="1"/>
  <c r="L653" i="1"/>
  <c r="A653" i="1"/>
  <c r="L652" i="1"/>
  <c r="A652" i="1"/>
  <c r="L651" i="1"/>
  <c r="A651" i="1"/>
  <c r="L650" i="1"/>
  <c r="A650" i="1"/>
  <c r="L649" i="1"/>
  <c r="A649" i="1"/>
  <c r="L648" i="1"/>
  <c r="A648" i="1"/>
  <c r="L647" i="1"/>
  <c r="A647" i="1"/>
  <c r="L646" i="1"/>
  <c r="A646" i="1"/>
  <c r="L645" i="1"/>
  <c r="A645" i="1"/>
  <c r="L644" i="1"/>
  <c r="A644" i="1"/>
  <c r="L643" i="1"/>
  <c r="A643" i="1"/>
  <c r="L642" i="1"/>
  <c r="A642" i="1"/>
  <c r="L641" i="1"/>
  <c r="A641" i="1"/>
  <c r="L640" i="1"/>
  <c r="A640" i="1"/>
  <c r="L639" i="1"/>
  <c r="A639" i="1"/>
  <c r="L638" i="1"/>
  <c r="A638" i="1"/>
  <c r="L637" i="1"/>
  <c r="A637" i="1"/>
  <c r="L636" i="1"/>
  <c r="A636" i="1"/>
  <c r="L635" i="1"/>
  <c r="A635" i="1"/>
  <c r="L634" i="1"/>
  <c r="A634" i="1"/>
  <c r="L633" i="1"/>
  <c r="A633" i="1"/>
  <c r="L632" i="1"/>
  <c r="A632" i="1"/>
  <c r="L631" i="1"/>
  <c r="A631" i="1"/>
  <c r="L630" i="1"/>
  <c r="A630" i="1"/>
  <c r="L629" i="1"/>
  <c r="A629" i="1"/>
  <c r="L628" i="1"/>
  <c r="A628" i="1"/>
  <c r="L627" i="1"/>
  <c r="A627" i="1"/>
  <c r="L626" i="1"/>
  <c r="A626" i="1"/>
  <c r="L625" i="1"/>
  <c r="A625" i="1"/>
  <c r="L624" i="1"/>
  <c r="A624" i="1"/>
  <c r="L623" i="1"/>
  <c r="A623" i="1"/>
  <c r="L622" i="1"/>
  <c r="A622" i="1"/>
  <c r="L621" i="1"/>
  <c r="A621" i="1"/>
  <c r="L620" i="1"/>
  <c r="A620" i="1"/>
  <c r="L619" i="1"/>
  <c r="A619" i="1"/>
  <c r="L618" i="1"/>
  <c r="A618" i="1"/>
  <c r="L617" i="1"/>
  <c r="A617" i="1"/>
  <c r="L616" i="1"/>
  <c r="A616" i="1"/>
  <c r="L615" i="1"/>
  <c r="A615" i="1"/>
  <c r="L614" i="1"/>
  <c r="A614" i="1"/>
  <c r="L613" i="1"/>
  <c r="A613" i="1"/>
  <c r="L612" i="1"/>
  <c r="A612" i="1"/>
  <c r="L611" i="1"/>
  <c r="A611" i="1"/>
  <c r="L610" i="1"/>
  <c r="A610" i="1"/>
  <c r="L609" i="1"/>
  <c r="A609" i="1"/>
  <c r="L608" i="1"/>
  <c r="A608" i="1"/>
  <c r="L607" i="1"/>
  <c r="A607" i="1"/>
  <c r="L606" i="1"/>
  <c r="A606" i="1"/>
  <c r="L605" i="1"/>
  <c r="A605" i="1"/>
  <c r="L604" i="1"/>
  <c r="A604" i="1"/>
  <c r="L603" i="1"/>
  <c r="A603" i="1"/>
  <c r="L602" i="1"/>
  <c r="A602" i="1"/>
  <c r="L601" i="1"/>
  <c r="A601" i="1"/>
  <c r="L600" i="1"/>
  <c r="A600" i="1"/>
  <c r="L599" i="1"/>
  <c r="A599" i="1"/>
  <c r="L598" i="1"/>
  <c r="A598" i="1"/>
  <c r="L597" i="1"/>
  <c r="A597" i="1"/>
  <c r="L596" i="1"/>
  <c r="A596" i="1"/>
  <c r="L595" i="1"/>
  <c r="A595" i="1"/>
  <c r="L594" i="1"/>
  <c r="A594" i="1"/>
  <c r="L593" i="1"/>
  <c r="A593" i="1"/>
  <c r="L592" i="1"/>
  <c r="A592" i="1"/>
  <c r="L591" i="1"/>
  <c r="A591" i="1"/>
  <c r="L590" i="1"/>
  <c r="A590" i="1"/>
  <c r="L589" i="1"/>
  <c r="A589" i="1"/>
  <c r="L588" i="1"/>
  <c r="A588" i="1"/>
  <c r="L587" i="1"/>
  <c r="A587" i="1"/>
  <c r="L586" i="1"/>
  <c r="A586" i="1"/>
  <c r="L585" i="1"/>
  <c r="A585" i="1"/>
  <c r="L584" i="1"/>
  <c r="A584" i="1"/>
  <c r="L583" i="1"/>
  <c r="A583" i="1"/>
  <c r="L582" i="1"/>
  <c r="A582" i="1"/>
  <c r="L581" i="1"/>
  <c r="A581" i="1"/>
  <c r="L580" i="1"/>
  <c r="A580" i="1"/>
  <c r="L579" i="1"/>
  <c r="A579" i="1"/>
  <c r="L578" i="1"/>
  <c r="A578" i="1"/>
  <c r="L577" i="1"/>
  <c r="A577" i="1"/>
  <c r="L576" i="1"/>
  <c r="A576" i="1"/>
  <c r="L575" i="1"/>
  <c r="A575" i="1"/>
  <c r="L574" i="1"/>
  <c r="A574" i="1"/>
  <c r="L573" i="1"/>
  <c r="A573" i="1"/>
  <c r="L572" i="1"/>
  <c r="A572" i="1"/>
  <c r="L571" i="1"/>
  <c r="A571" i="1"/>
  <c r="L570" i="1"/>
  <c r="A570" i="1"/>
  <c r="L569" i="1"/>
  <c r="A569" i="1"/>
  <c r="L568" i="1"/>
  <c r="A568" i="1"/>
  <c r="L567" i="1"/>
  <c r="A567" i="1"/>
  <c r="L565" i="1"/>
  <c r="A565" i="1"/>
  <c r="L564" i="1"/>
  <c r="A564" i="1"/>
  <c r="L563" i="1"/>
  <c r="A563" i="1"/>
  <c r="L562" i="1"/>
  <c r="A562" i="1"/>
  <c r="L561" i="1"/>
  <c r="A561" i="1"/>
  <c r="L560" i="1"/>
  <c r="A560" i="1"/>
  <c r="L559" i="1"/>
  <c r="A559" i="1"/>
  <c r="L558" i="1"/>
  <c r="A558" i="1"/>
  <c r="L557" i="1"/>
  <c r="A557" i="1"/>
  <c r="L556" i="1"/>
  <c r="A556" i="1"/>
  <c r="L555" i="1"/>
  <c r="A555" i="1"/>
  <c r="L554" i="1"/>
  <c r="A554" i="1"/>
  <c r="L553" i="1"/>
  <c r="A553" i="1"/>
  <c r="L552" i="1"/>
  <c r="A552" i="1"/>
  <c r="L551" i="1"/>
  <c r="A551" i="1"/>
  <c r="L550" i="1"/>
  <c r="A550" i="1"/>
  <c r="L549" i="1"/>
  <c r="A549" i="1"/>
  <c r="L548" i="1"/>
  <c r="A548" i="1"/>
  <c r="L547" i="1"/>
  <c r="A547" i="1"/>
  <c r="L546" i="1"/>
  <c r="A546" i="1"/>
  <c r="L545" i="1"/>
  <c r="A545" i="1"/>
  <c r="L544" i="1"/>
  <c r="A544" i="1"/>
  <c r="L543" i="1"/>
  <c r="A543" i="1"/>
  <c r="L542" i="1"/>
  <c r="A542" i="1"/>
  <c r="L541" i="1"/>
  <c r="A541" i="1"/>
  <c r="L540" i="1"/>
  <c r="A540" i="1"/>
  <c r="L539" i="1"/>
  <c r="A539" i="1"/>
  <c r="L538" i="1"/>
  <c r="A538" i="1"/>
  <c r="L537" i="1"/>
  <c r="A537" i="1"/>
  <c r="L536" i="1"/>
  <c r="A536" i="1"/>
  <c r="L535" i="1"/>
  <c r="A535" i="1"/>
  <c r="L534" i="1"/>
  <c r="A534" i="1"/>
  <c r="L533" i="1"/>
  <c r="A533" i="1"/>
  <c r="L532" i="1"/>
  <c r="A532" i="1"/>
  <c r="L531" i="1"/>
  <c r="A531" i="1"/>
  <c r="L530" i="1"/>
  <c r="A530" i="1"/>
  <c r="L529" i="1"/>
  <c r="A529" i="1"/>
  <c r="L528" i="1"/>
  <c r="A528" i="1"/>
  <c r="L527" i="1"/>
  <c r="A527" i="1"/>
  <c r="L526" i="1"/>
  <c r="A526" i="1"/>
  <c r="L525" i="1"/>
  <c r="A525" i="1"/>
  <c r="L524" i="1"/>
  <c r="A524" i="1"/>
  <c r="L523" i="1"/>
  <c r="A523" i="1"/>
  <c r="L522" i="1"/>
  <c r="A522" i="1"/>
  <c r="L521" i="1"/>
  <c r="A521" i="1"/>
  <c r="L520" i="1"/>
  <c r="A520" i="1"/>
  <c r="L519" i="1"/>
  <c r="A519" i="1"/>
  <c r="L518" i="1"/>
  <c r="A518" i="1"/>
  <c r="L517" i="1"/>
  <c r="A517" i="1"/>
  <c r="L516" i="1"/>
  <c r="A516" i="1"/>
  <c r="L515" i="1"/>
  <c r="A515" i="1"/>
  <c r="L514" i="1"/>
  <c r="A514" i="1"/>
  <c r="L513" i="1"/>
  <c r="A513" i="1"/>
  <c r="L512" i="1"/>
  <c r="A512" i="1"/>
  <c r="L511" i="1"/>
  <c r="A511" i="1"/>
  <c r="L510" i="1"/>
  <c r="A510" i="1"/>
  <c r="L509" i="1"/>
  <c r="A509" i="1"/>
  <c r="L508" i="1"/>
  <c r="A508" i="1"/>
  <c r="L507" i="1"/>
  <c r="A507" i="1"/>
  <c r="L506" i="1"/>
  <c r="A506" i="1"/>
  <c r="L505" i="1"/>
  <c r="A505" i="1"/>
  <c r="L504" i="1"/>
  <c r="A504" i="1"/>
  <c r="L503" i="1"/>
  <c r="A503" i="1"/>
  <c r="L502" i="1"/>
  <c r="A502" i="1"/>
  <c r="L501" i="1"/>
  <c r="A501" i="1"/>
  <c r="L500" i="1"/>
  <c r="A500" i="1"/>
  <c r="L499" i="1"/>
  <c r="A499" i="1"/>
  <c r="L498" i="1"/>
  <c r="A498" i="1"/>
  <c r="L497" i="1"/>
  <c r="A497" i="1"/>
  <c r="L496" i="1"/>
  <c r="A496" i="1"/>
  <c r="L495" i="1"/>
  <c r="A495" i="1"/>
  <c r="L494" i="1"/>
  <c r="A494" i="1"/>
  <c r="L493" i="1"/>
  <c r="A493" i="1"/>
  <c r="L492" i="1"/>
  <c r="A492" i="1"/>
  <c r="L491" i="1"/>
  <c r="A491" i="1"/>
  <c r="L490" i="1"/>
  <c r="A490" i="1"/>
  <c r="L489" i="1"/>
  <c r="A489" i="1"/>
  <c r="L488" i="1"/>
  <c r="A488" i="1"/>
  <c r="L487" i="1"/>
  <c r="A487" i="1"/>
  <c r="L486" i="1"/>
  <c r="A486" i="1"/>
  <c r="L485" i="1"/>
  <c r="A485" i="1"/>
  <c r="L484" i="1"/>
  <c r="A484" i="1"/>
  <c r="L483" i="1"/>
  <c r="A483" i="1"/>
  <c r="L482" i="1"/>
  <c r="A482" i="1"/>
  <c r="L481" i="1"/>
  <c r="A481" i="1"/>
  <c r="L480" i="1"/>
  <c r="A480" i="1"/>
  <c r="L479" i="1"/>
  <c r="A479" i="1"/>
  <c r="L478" i="1"/>
  <c r="A478" i="1"/>
  <c r="L477" i="1"/>
  <c r="A477" i="1"/>
  <c r="L476" i="1"/>
  <c r="A476" i="1"/>
  <c r="L475" i="1"/>
  <c r="A475" i="1"/>
  <c r="L474" i="1"/>
  <c r="A474" i="1"/>
  <c r="L473" i="1"/>
  <c r="A473" i="1"/>
  <c r="L472" i="1"/>
  <c r="A472" i="1"/>
  <c r="L471" i="1"/>
  <c r="A471" i="1"/>
  <c r="L470" i="1"/>
  <c r="A470" i="1"/>
  <c r="L469" i="1"/>
  <c r="A469" i="1"/>
  <c r="L468" i="1"/>
  <c r="A468" i="1"/>
  <c r="L467" i="1"/>
  <c r="A467" i="1"/>
  <c r="L466" i="1"/>
  <c r="A466" i="1"/>
  <c r="L465" i="1"/>
  <c r="A465" i="1"/>
  <c r="L464" i="1"/>
  <c r="A464" i="1"/>
  <c r="L463" i="1"/>
  <c r="A463" i="1"/>
  <c r="L462" i="1"/>
  <c r="A462" i="1"/>
  <c r="L461" i="1"/>
  <c r="A461" i="1"/>
  <c r="L460" i="1"/>
  <c r="A460" i="1"/>
  <c r="L459" i="1"/>
  <c r="A459" i="1"/>
  <c r="L458" i="1"/>
  <c r="A458" i="1"/>
  <c r="L457" i="1"/>
  <c r="A457" i="1"/>
  <c r="L456" i="1"/>
  <c r="A456" i="1"/>
  <c r="L455" i="1"/>
  <c r="A455" i="1"/>
  <c r="L454" i="1"/>
  <c r="A454" i="1"/>
  <c r="L453" i="1"/>
  <c r="A453" i="1"/>
  <c r="L452" i="1"/>
  <c r="A452" i="1"/>
  <c r="L451" i="1"/>
  <c r="A451" i="1"/>
  <c r="L450" i="1"/>
  <c r="A450" i="1"/>
  <c r="L449" i="1"/>
  <c r="A449" i="1"/>
  <c r="L448" i="1"/>
  <c r="A448" i="1"/>
  <c r="L447" i="1"/>
  <c r="A447" i="1"/>
  <c r="L446" i="1"/>
  <c r="A446" i="1"/>
  <c r="L445" i="1"/>
  <c r="A445" i="1"/>
  <c r="L444" i="1"/>
  <c r="A444" i="1"/>
  <c r="L443" i="1"/>
  <c r="A443" i="1"/>
  <c r="L442" i="1"/>
  <c r="A442" i="1"/>
  <c r="L441" i="1"/>
  <c r="A441" i="1"/>
  <c r="L440" i="1"/>
  <c r="A440" i="1"/>
  <c r="L439" i="1"/>
  <c r="A439" i="1"/>
  <c r="L438" i="1"/>
  <c r="A438" i="1"/>
  <c r="L437" i="1"/>
  <c r="A437" i="1"/>
  <c r="L436" i="1"/>
  <c r="A436" i="1"/>
  <c r="L435" i="1"/>
  <c r="A435" i="1"/>
  <c r="L434" i="1"/>
  <c r="A434" i="1"/>
  <c r="L433" i="1"/>
  <c r="A433" i="1"/>
  <c r="L432" i="1"/>
  <c r="A432" i="1"/>
  <c r="L431" i="1"/>
  <c r="A431" i="1"/>
  <c r="L430" i="1"/>
  <c r="A430" i="1"/>
  <c r="L429" i="1"/>
  <c r="A429" i="1"/>
  <c r="L428" i="1"/>
  <c r="A428" i="1"/>
  <c r="L427" i="1"/>
  <c r="A427" i="1"/>
  <c r="L426" i="1"/>
  <c r="A426" i="1"/>
  <c r="L425" i="1"/>
  <c r="A425" i="1"/>
  <c r="L424" i="1"/>
  <c r="A424" i="1"/>
  <c r="L423" i="1"/>
  <c r="A423" i="1"/>
  <c r="L422" i="1"/>
  <c r="A422" i="1"/>
  <c r="L421" i="1"/>
  <c r="A421" i="1"/>
  <c r="L420" i="1"/>
  <c r="A420" i="1"/>
  <c r="L419" i="1"/>
  <c r="A419" i="1"/>
  <c r="L418" i="1"/>
  <c r="A418" i="1"/>
  <c r="L417" i="1"/>
  <c r="A417" i="1"/>
  <c r="L416" i="1"/>
  <c r="A416" i="1"/>
  <c r="L415" i="1"/>
  <c r="A415" i="1"/>
  <c r="L414" i="1"/>
  <c r="A414" i="1"/>
  <c r="L413" i="1"/>
  <c r="A413" i="1"/>
  <c r="L412" i="1"/>
  <c r="A412" i="1"/>
  <c r="L411" i="1"/>
  <c r="A411" i="1"/>
  <c r="L410" i="1"/>
  <c r="A410" i="1"/>
  <c r="L409" i="1"/>
  <c r="A409" i="1"/>
  <c r="L408" i="1"/>
  <c r="A408" i="1"/>
  <c r="L407" i="1"/>
  <c r="A407" i="1"/>
  <c r="L406" i="1"/>
  <c r="A406" i="1"/>
  <c r="L405" i="1"/>
  <c r="A405" i="1"/>
  <c r="L404" i="1"/>
  <c r="A404" i="1"/>
  <c r="L403" i="1"/>
  <c r="A403" i="1"/>
  <c r="L402" i="1"/>
  <c r="A402" i="1"/>
  <c r="L401" i="1"/>
  <c r="A401" i="1"/>
  <c r="L400" i="1"/>
  <c r="A400" i="1"/>
  <c r="L399" i="1"/>
  <c r="A399" i="1"/>
  <c r="L398" i="1"/>
  <c r="A398" i="1"/>
  <c r="L397" i="1"/>
  <c r="A397" i="1"/>
  <c r="L396" i="1"/>
  <c r="A396" i="1"/>
  <c r="L395" i="1"/>
  <c r="A395" i="1"/>
  <c r="L394" i="1"/>
  <c r="A394" i="1"/>
  <c r="L393" i="1"/>
  <c r="A393" i="1"/>
  <c r="L392" i="1"/>
  <c r="A392" i="1"/>
  <c r="L391" i="1"/>
  <c r="A391" i="1"/>
  <c r="L390" i="1"/>
  <c r="A390" i="1"/>
  <c r="L389" i="1"/>
  <c r="A389" i="1"/>
  <c r="L388" i="1"/>
  <c r="A388" i="1"/>
  <c r="L387" i="1"/>
  <c r="A387" i="1"/>
  <c r="L386" i="1"/>
  <c r="A386" i="1"/>
  <c r="L385" i="1"/>
  <c r="A385" i="1"/>
  <c r="L384" i="1"/>
  <c r="A384" i="1"/>
  <c r="L383" i="1"/>
  <c r="A383" i="1"/>
  <c r="L382" i="1"/>
  <c r="A382" i="1"/>
  <c r="L381" i="1"/>
  <c r="A381" i="1"/>
  <c r="L380" i="1"/>
  <c r="A380" i="1"/>
  <c r="L379" i="1"/>
  <c r="A379" i="1"/>
  <c r="L378" i="1"/>
  <c r="A378" i="1"/>
  <c r="L377" i="1"/>
  <c r="A377" i="1"/>
  <c r="L376" i="1"/>
  <c r="A376" i="1"/>
  <c r="L375" i="1"/>
  <c r="A375" i="1"/>
  <c r="L374" i="1"/>
  <c r="A374" i="1"/>
  <c r="L373" i="1"/>
  <c r="A373" i="1"/>
  <c r="L372" i="1"/>
  <c r="A372" i="1"/>
  <c r="L371" i="1"/>
  <c r="A371" i="1"/>
  <c r="L370" i="1"/>
  <c r="A370" i="1"/>
  <c r="L369" i="1"/>
  <c r="A369" i="1"/>
  <c r="L368" i="1"/>
  <c r="A368" i="1"/>
  <c r="L367" i="1"/>
  <c r="A367" i="1"/>
  <c r="L366" i="1"/>
  <c r="A366" i="1"/>
  <c r="L365" i="1"/>
  <c r="A365" i="1"/>
  <c r="L364" i="1"/>
  <c r="A364" i="1"/>
  <c r="L363" i="1"/>
  <c r="A363" i="1"/>
  <c r="L362" i="1"/>
  <c r="A362" i="1"/>
  <c r="L361" i="1"/>
  <c r="A361" i="1"/>
  <c r="L360" i="1"/>
  <c r="A360" i="1"/>
  <c r="L359" i="1"/>
  <c r="A359" i="1"/>
  <c r="L358" i="1"/>
  <c r="A358" i="1"/>
  <c r="L357" i="1"/>
  <c r="A357" i="1"/>
  <c r="L356" i="1"/>
  <c r="A356" i="1"/>
  <c r="L355" i="1"/>
  <c r="A355" i="1"/>
  <c r="L354" i="1"/>
  <c r="A354" i="1"/>
  <c r="L353" i="1"/>
  <c r="A353" i="1"/>
  <c r="L352" i="1"/>
  <c r="A352" i="1"/>
  <c r="L351" i="1"/>
  <c r="A351" i="1"/>
  <c r="L350" i="1"/>
  <c r="A350" i="1"/>
  <c r="L349" i="1"/>
  <c r="A349" i="1"/>
  <c r="L348" i="1"/>
  <c r="A348" i="1"/>
  <c r="L347" i="1"/>
  <c r="A347" i="1"/>
  <c r="L346" i="1"/>
  <c r="A346" i="1"/>
  <c r="L345" i="1"/>
  <c r="A345" i="1"/>
  <c r="L344" i="1"/>
  <c r="A344" i="1"/>
  <c r="L343" i="1"/>
  <c r="A343" i="1"/>
  <c r="L342" i="1"/>
  <c r="A342" i="1"/>
  <c r="L341" i="1"/>
  <c r="A341" i="1"/>
  <c r="L340" i="1"/>
  <c r="A340" i="1"/>
  <c r="L339" i="1"/>
  <c r="A339" i="1"/>
  <c r="L338" i="1"/>
  <c r="A338" i="1"/>
  <c r="L337" i="1"/>
  <c r="A337" i="1"/>
  <c r="L336" i="1"/>
  <c r="A336" i="1"/>
  <c r="L335" i="1"/>
  <c r="A335" i="1"/>
  <c r="L334" i="1"/>
  <c r="A334" i="1"/>
  <c r="L333" i="1"/>
  <c r="A333" i="1"/>
  <c r="L332" i="1"/>
  <c r="A332" i="1"/>
  <c r="L331" i="1"/>
  <c r="A331" i="1"/>
  <c r="L330" i="1"/>
  <c r="A330" i="1"/>
  <c r="L329" i="1"/>
  <c r="A329" i="1"/>
  <c r="L328" i="1"/>
  <c r="A328" i="1"/>
  <c r="L327" i="1"/>
  <c r="A327" i="1"/>
  <c r="L326" i="1"/>
  <c r="A326" i="1"/>
  <c r="L325" i="1"/>
  <c r="A325" i="1"/>
  <c r="L324" i="1"/>
  <c r="A324" i="1"/>
  <c r="L323" i="1"/>
  <c r="A323" i="1"/>
  <c r="L322" i="1"/>
  <c r="A322" i="1"/>
  <c r="L321" i="1"/>
  <c r="A321" i="1"/>
  <c r="L320" i="1"/>
  <c r="A320" i="1"/>
  <c r="L319" i="1"/>
  <c r="A319" i="1"/>
  <c r="L318" i="1"/>
  <c r="A318" i="1"/>
  <c r="L317" i="1"/>
  <c r="A317" i="1"/>
  <c r="L316" i="1"/>
  <c r="A316" i="1"/>
  <c r="L315" i="1"/>
  <c r="A315" i="1"/>
  <c r="L314" i="1"/>
  <c r="A314" i="1"/>
  <c r="L313" i="1"/>
  <c r="A313" i="1"/>
  <c r="L312" i="1"/>
  <c r="A312" i="1"/>
  <c r="L311" i="1"/>
  <c r="A311" i="1"/>
  <c r="L310" i="1"/>
  <c r="A310" i="1"/>
  <c r="L309" i="1"/>
  <c r="A309" i="1"/>
  <c r="L308" i="1"/>
  <c r="A308" i="1"/>
  <c r="L307" i="1"/>
  <c r="A307" i="1"/>
  <c r="L306" i="1"/>
  <c r="A306" i="1"/>
  <c r="L305" i="1"/>
  <c r="A305" i="1"/>
  <c r="L304" i="1"/>
  <c r="A304" i="1"/>
  <c r="L303" i="1"/>
  <c r="A303" i="1"/>
  <c r="L302" i="1"/>
  <c r="A302" i="1"/>
  <c r="L301" i="1"/>
  <c r="A301" i="1"/>
  <c r="L300" i="1"/>
  <c r="A300" i="1"/>
  <c r="L299" i="1"/>
  <c r="A299" i="1"/>
  <c r="L298" i="1"/>
  <c r="A298" i="1"/>
  <c r="L297" i="1"/>
  <c r="A297" i="1"/>
  <c r="L296" i="1"/>
  <c r="A296" i="1"/>
  <c r="L295" i="1"/>
  <c r="A295" i="1"/>
  <c r="L294" i="1"/>
  <c r="A294" i="1"/>
  <c r="L293" i="1"/>
  <c r="A293" i="1"/>
  <c r="L292" i="1"/>
  <c r="A292" i="1"/>
  <c r="L291" i="1"/>
  <c r="A291" i="1"/>
  <c r="L290" i="1"/>
  <c r="A290" i="1"/>
  <c r="L289" i="1"/>
  <c r="A289" i="1"/>
  <c r="L288" i="1"/>
  <c r="A288" i="1"/>
  <c r="L287" i="1"/>
  <c r="A287" i="1"/>
  <c r="L286" i="1"/>
  <c r="A286" i="1"/>
  <c r="L285" i="1"/>
  <c r="A285" i="1"/>
  <c r="L284" i="1"/>
  <c r="A284" i="1"/>
  <c r="L283" i="1"/>
  <c r="A283" i="1"/>
  <c r="L282" i="1"/>
  <c r="A282" i="1"/>
  <c r="L281" i="1"/>
  <c r="A281" i="1"/>
  <c r="L280" i="1"/>
  <c r="A280" i="1"/>
  <c r="L279" i="1"/>
  <c r="A279" i="1"/>
  <c r="L278" i="1"/>
  <c r="A278" i="1"/>
  <c r="L277" i="1"/>
  <c r="A277" i="1"/>
  <c r="L276" i="1"/>
  <c r="A276" i="1"/>
  <c r="L275" i="1"/>
  <c r="A275" i="1"/>
  <c r="L274" i="1"/>
  <c r="A274" i="1"/>
  <c r="L273" i="1"/>
  <c r="A273" i="1"/>
  <c r="L272" i="1"/>
  <c r="A272" i="1"/>
  <c r="L271" i="1"/>
  <c r="A271" i="1"/>
  <c r="L270" i="1"/>
  <c r="A270" i="1"/>
  <c r="L269" i="1"/>
  <c r="A269" i="1"/>
  <c r="L268" i="1"/>
  <c r="A268" i="1"/>
  <c r="L267" i="1"/>
  <c r="A267" i="1"/>
  <c r="L266" i="1"/>
  <c r="A266" i="1"/>
  <c r="L265" i="1"/>
  <c r="A265" i="1"/>
  <c r="L264" i="1"/>
  <c r="A264" i="1"/>
  <c r="L263" i="1"/>
  <c r="A263" i="1"/>
  <c r="L262" i="1"/>
  <c r="A262" i="1"/>
  <c r="L261" i="1"/>
  <c r="A261" i="1"/>
  <c r="L260" i="1"/>
  <c r="A260" i="1"/>
  <c r="L259" i="1"/>
  <c r="A259" i="1"/>
  <c r="L258" i="1"/>
  <c r="A258" i="1"/>
  <c r="L257" i="1"/>
  <c r="A257" i="1"/>
  <c r="L256" i="1"/>
  <c r="A256" i="1"/>
  <c r="L255" i="1"/>
  <c r="A255" i="1"/>
  <c r="L254" i="1"/>
  <c r="A254" i="1"/>
  <c r="L253" i="1"/>
  <c r="A253" i="1"/>
  <c r="L252" i="1"/>
  <c r="A252" i="1"/>
  <c r="L251" i="1"/>
  <c r="A251" i="1"/>
  <c r="L250" i="1"/>
  <c r="A250" i="1"/>
  <c r="L249" i="1"/>
  <c r="A249" i="1"/>
  <c r="L248" i="1"/>
  <c r="A248" i="1"/>
  <c r="L247" i="1"/>
  <c r="A247" i="1"/>
  <c r="L235" i="1"/>
  <c r="A235" i="1"/>
  <c r="L234" i="1"/>
  <c r="A234" i="1"/>
  <c r="L233" i="1"/>
  <c r="A233" i="1"/>
  <c r="L232" i="1"/>
  <c r="A232" i="1"/>
  <c r="L231" i="1"/>
  <c r="A231" i="1"/>
  <c r="L230" i="1"/>
  <c r="A230" i="1"/>
  <c r="L229" i="1"/>
  <c r="A229" i="1"/>
  <c r="L228" i="1"/>
  <c r="A228" i="1"/>
  <c r="L227" i="1"/>
  <c r="A227" i="1"/>
  <c r="L226" i="1"/>
  <c r="A226" i="1"/>
  <c r="L225" i="1"/>
  <c r="A225" i="1"/>
  <c r="L224" i="1"/>
  <c r="A224" i="1"/>
  <c r="L223" i="1"/>
  <c r="A223" i="1"/>
  <c r="L222" i="1"/>
  <c r="A222" i="1"/>
  <c r="L221" i="1"/>
  <c r="A221" i="1"/>
  <c r="L220" i="1"/>
  <c r="A220" i="1"/>
  <c r="L219" i="1"/>
  <c r="A219" i="1"/>
  <c r="L218" i="1"/>
  <c r="A218" i="1"/>
  <c r="L217" i="1"/>
  <c r="A217" i="1"/>
  <c r="L216" i="1"/>
  <c r="A216" i="1"/>
  <c r="L215" i="1"/>
  <c r="A215" i="1"/>
  <c r="L214" i="1"/>
  <c r="A214" i="1"/>
  <c r="L213" i="1"/>
  <c r="A213" i="1"/>
  <c r="L212" i="1"/>
  <c r="A212" i="1"/>
  <c r="L211" i="1"/>
  <c r="A211" i="1"/>
  <c r="L210" i="1"/>
  <c r="A210" i="1"/>
  <c r="L209" i="1"/>
  <c r="A209" i="1"/>
  <c r="L208" i="1"/>
  <c r="A208" i="1"/>
  <c r="L207" i="1"/>
  <c r="A207" i="1"/>
  <c r="L206" i="1"/>
  <c r="A206" i="1"/>
  <c r="L205" i="1"/>
  <c r="A205" i="1"/>
  <c r="L204" i="1"/>
  <c r="A204" i="1"/>
  <c r="L203" i="1"/>
  <c r="A203" i="1"/>
  <c r="L202" i="1"/>
  <c r="A202" i="1"/>
  <c r="L201" i="1"/>
  <c r="A201" i="1"/>
  <c r="L200" i="1"/>
  <c r="A200" i="1"/>
  <c r="L199" i="1"/>
  <c r="A199" i="1"/>
  <c r="L198" i="1"/>
  <c r="A198" i="1"/>
  <c r="L197" i="1"/>
  <c r="A197" i="1"/>
  <c r="L196" i="1"/>
  <c r="A196" i="1"/>
  <c r="L195" i="1"/>
  <c r="A195" i="1"/>
  <c r="L194" i="1"/>
  <c r="A194" i="1"/>
  <c r="L193" i="1"/>
  <c r="A193" i="1"/>
  <c r="L192" i="1"/>
  <c r="A192" i="1"/>
  <c r="L191" i="1"/>
  <c r="A191" i="1"/>
  <c r="L190" i="1"/>
  <c r="A190" i="1"/>
  <c r="L189" i="1"/>
  <c r="A189" i="1"/>
  <c r="L188" i="1"/>
  <c r="A188" i="1"/>
  <c r="L187" i="1"/>
  <c r="A187" i="1"/>
  <c r="L186" i="1"/>
  <c r="A186" i="1"/>
  <c r="L185" i="1"/>
  <c r="A185" i="1"/>
  <c r="L184" i="1"/>
  <c r="A184" i="1"/>
  <c r="L183" i="1"/>
  <c r="A183" i="1"/>
  <c r="L182" i="1"/>
  <c r="A182" i="1"/>
  <c r="L181" i="1"/>
  <c r="A181" i="1"/>
  <c r="L180" i="1"/>
  <c r="A180" i="1"/>
  <c r="L179" i="1"/>
  <c r="A179" i="1"/>
  <c r="L178" i="1"/>
  <c r="A178" i="1"/>
  <c r="L177" i="1"/>
  <c r="A177" i="1"/>
  <c r="L176" i="1"/>
  <c r="A176" i="1"/>
  <c r="L175" i="1"/>
  <c r="A175" i="1"/>
  <c r="L174" i="1"/>
  <c r="A174" i="1"/>
  <c r="L173" i="1"/>
  <c r="A173" i="1"/>
  <c r="L172" i="1"/>
  <c r="A172" i="1"/>
  <c r="L171" i="1"/>
  <c r="A171" i="1"/>
  <c r="L170" i="1"/>
  <c r="A170" i="1"/>
  <c r="L169" i="1"/>
  <c r="A169" i="1"/>
  <c r="L168" i="1"/>
  <c r="A168" i="1"/>
  <c r="L167" i="1"/>
  <c r="A167" i="1"/>
  <c r="L166" i="1"/>
  <c r="A166" i="1"/>
  <c r="L165" i="1"/>
  <c r="A165" i="1"/>
  <c r="L164" i="1"/>
  <c r="A164" i="1"/>
  <c r="L163" i="1"/>
  <c r="A163" i="1"/>
  <c r="L162" i="1"/>
  <c r="A162" i="1"/>
  <c r="L161" i="1"/>
  <c r="A161" i="1"/>
  <c r="L160" i="1"/>
  <c r="A160" i="1"/>
  <c r="L159" i="1"/>
  <c r="A159" i="1"/>
  <c r="L158" i="1"/>
  <c r="A158" i="1"/>
  <c r="L157" i="1"/>
  <c r="A157" i="1"/>
  <c r="L156" i="1"/>
  <c r="A156" i="1"/>
  <c r="L155" i="1"/>
  <c r="A155" i="1"/>
  <c r="L154" i="1"/>
  <c r="A154" i="1"/>
  <c r="L153" i="1"/>
  <c r="A153" i="1"/>
  <c r="L152" i="1"/>
  <c r="A152" i="1"/>
  <c r="L151" i="1"/>
  <c r="A151" i="1"/>
  <c r="L150" i="1"/>
  <c r="A150" i="1"/>
  <c r="L149" i="1"/>
  <c r="A149" i="1"/>
  <c r="L148" i="1"/>
  <c r="A148" i="1"/>
  <c r="L147" i="1"/>
  <c r="A147" i="1"/>
  <c r="L146" i="1"/>
  <c r="A146" i="1"/>
  <c r="L145" i="1"/>
  <c r="A145" i="1"/>
  <c r="L144" i="1"/>
  <c r="A144" i="1"/>
  <c r="L143" i="1"/>
  <c r="A143" i="1"/>
  <c r="L142" i="1"/>
  <c r="A142" i="1"/>
  <c r="L141" i="1"/>
  <c r="A141" i="1"/>
  <c r="L140" i="1"/>
  <c r="A140" i="1"/>
  <c r="L139" i="1"/>
  <c r="A139" i="1"/>
  <c r="L138" i="1"/>
  <c r="A138" i="1"/>
  <c r="L137" i="1"/>
  <c r="A137" i="1"/>
  <c r="L136" i="1"/>
  <c r="A136" i="1"/>
  <c r="L135" i="1"/>
  <c r="A135" i="1"/>
  <c r="L134" i="1"/>
  <c r="A134" i="1"/>
  <c r="L133" i="1"/>
  <c r="A133" i="1"/>
  <c r="L132" i="1"/>
  <c r="A132" i="1"/>
  <c r="L131" i="1"/>
  <c r="A131" i="1"/>
  <c r="L130" i="1"/>
  <c r="A130" i="1"/>
  <c r="L129" i="1"/>
  <c r="A129" i="1"/>
  <c r="L128" i="1"/>
  <c r="A128" i="1"/>
  <c r="L127" i="1"/>
  <c r="A127" i="1"/>
  <c r="L126" i="1"/>
  <c r="A126" i="1"/>
  <c r="L125" i="1"/>
  <c r="A125" i="1"/>
  <c r="L124" i="1"/>
  <c r="A124" i="1"/>
  <c r="L123" i="1"/>
  <c r="A123" i="1"/>
  <c r="L122" i="1"/>
  <c r="A122" i="1"/>
  <c r="L121" i="1"/>
  <c r="A121" i="1"/>
  <c r="L120" i="1"/>
  <c r="A120" i="1"/>
  <c r="L119" i="1"/>
  <c r="A119" i="1"/>
  <c r="L118" i="1"/>
  <c r="A118" i="1"/>
  <c r="L117" i="1"/>
  <c r="A117" i="1"/>
  <c r="L116" i="1"/>
  <c r="A116" i="1"/>
  <c r="L115" i="1"/>
  <c r="A115" i="1"/>
  <c r="L114" i="1"/>
  <c r="A114" i="1"/>
  <c r="L113" i="1"/>
  <c r="A113" i="1"/>
  <c r="L112" i="1"/>
  <c r="A112" i="1"/>
  <c r="L111" i="1"/>
  <c r="A111" i="1"/>
  <c r="L110" i="1"/>
  <c r="A110" i="1"/>
  <c r="L109" i="1"/>
  <c r="A109" i="1"/>
  <c r="L108" i="1"/>
  <c r="A108" i="1"/>
  <c r="L107" i="1"/>
  <c r="A107" i="1"/>
  <c r="L106" i="1"/>
  <c r="A106" i="1"/>
  <c r="L105" i="1"/>
  <c r="A105" i="1"/>
  <c r="L104" i="1"/>
  <c r="A104" i="1"/>
  <c r="L103" i="1"/>
  <c r="A103" i="1"/>
  <c r="L102" i="1"/>
  <c r="A102" i="1"/>
  <c r="L101" i="1"/>
  <c r="A101" i="1"/>
  <c r="L100" i="1"/>
  <c r="A100" i="1"/>
  <c r="L99" i="1"/>
  <c r="A99" i="1"/>
  <c r="L98" i="1"/>
  <c r="A98" i="1"/>
  <c r="L97" i="1"/>
  <c r="A97" i="1"/>
  <c r="L96" i="1"/>
  <c r="A96" i="1"/>
  <c r="L95" i="1"/>
  <c r="A95" i="1"/>
  <c r="L94" i="1"/>
  <c r="A94" i="1"/>
  <c r="L93" i="1"/>
  <c r="A93" i="1"/>
  <c r="L92" i="1"/>
  <c r="A92" i="1"/>
  <c r="L91" i="1"/>
  <c r="A91" i="1"/>
  <c r="L90" i="1"/>
  <c r="A90" i="1"/>
  <c r="L89" i="1"/>
  <c r="A89" i="1"/>
  <c r="L88" i="1"/>
  <c r="A88" i="1"/>
  <c r="L87" i="1"/>
  <c r="A87" i="1"/>
  <c r="L86" i="1"/>
  <c r="A86" i="1"/>
  <c r="L85" i="1"/>
  <c r="A85" i="1"/>
  <c r="L84" i="1"/>
  <c r="A84" i="1"/>
  <c r="L83" i="1"/>
  <c r="A83" i="1"/>
  <c r="L82" i="1"/>
  <c r="A82" i="1"/>
  <c r="L81" i="1"/>
  <c r="A81" i="1"/>
  <c r="L80" i="1"/>
  <c r="A80" i="1"/>
  <c r="L79" i="1"/>
  <c r="A79" i="1"/>
  <c r="L78" i="1"/>
  <c r="A78" i="1"/>
  <c r="L77" i="1"/>
  <c r="A77" i="1"/>
  <c r="L76" i="1"/>
  <c r="A76" i="1"/>
  <c r="L75" i="1"/>
  <c r="A75" i="1"/>
  <c r="L74" i="1"/>
  <c r="A74" i="1"/>
  <c r="L73" i="1"/>
  <c r="A73" i="1"/>
  <c r="L72" i="1"/>
  <c r="A72" i="1"/>
  <c r="L71" i="1"/>
  <c r="A71" i="1"/>
  <c r="L70" i="1"/>
  <c r="A70" i="1"/>
  <c r="L69" i="1"/>
  <c r="A69" i="1"/>
  <c r="L68" i="1"/>
  <c r="A68" i="1"/>
  <c r="L67" i="1"/>
  <c r="A67" i="1"/>
  <c r="L66" i="1"/>
  <c r="A66" i="1"/>
  <c r="L65" i="1"/>
  <c r="A65" i="1"/>
  <c r="L64" i="1"/>
  <c r="A64" i="1"/>
  <c r="L63" i="1"/>
  <c r="A63" i="1"/>
  <c r="L62" i="1"/>
  <c r="A62" i="1"/>
  <c r="L61" i="1"/>
  <c r="A61" i="1"/>
  <c r="L60" i="1"/>
  <c r="A60" i="1"/>
  <c r="L59" i="1"/>
  <c r="A59" i="1"/>
  <c r="L58" i="1"/>
  <c r="A58" i="1"/>
  <c r="L57" i="1"/>
  <c r="A57" i="1"/>
  <c r="L56" i="1"/>
  <c r="A56" i="1"/>
  <c r="L55" i="1"/>
  <c r="A55" i="1"/>
  <c r="L54" i="1"/>
  <c r="A54" i="1"/>
  <c r="L53" i="1"/>
  <c r="A53" i="1"/>
  <c r="L52" i="1"/>
  <c r="A52" i="1"/>
  <c r="L51" i="1"/>
  <c r="A51" i="1"/>
  <c r="L50" i="1"/>
  <c r="A50" i="1"/>
  <c r="L49" i="1"/>
  <c r="A49" i="1"/>
  <c r="L48" i="1"/>
  <c r="A48" i="1"/>
  <c r="L47" i="1"/>
  <c r="A47" i="1"/>
  <c r="L46" i="1"/>
  <c r="A46" i="1"/>
  <c r="L45" i="1"/>
  <c r="A45" i="1"/>
  <c r="L44" i="1"/>
  <c r="A44" i="1"/>
  <c r="L43" i="1"/>
  <c r="A43" i="1"/>
  <c r="L42" i="1"/>
  <c r="A42" i="1"/>
  <c r="L41" i="1"/>
  <c r="A41" i="1"/>
  <c r="L40" i="1"/>
  <c r="A40" i="1"/>
  <c r="L39" i="1"/>
  <c r="A39" i="1"/>
  <c r="L38" i="1"/>
  <c r="A38" i="1"/>
  <c r="L37" i="1"/>
  <c r="A37" i="1"/>
  <c r="L36" i="1"/>
  <c r="A36" i="1"/>
  <c r="L35" i="1"/>
  <c r="A35" i="1"/>
  <c r="L34" i="1"/>
  <c r="A34" i="1"/>
  <c r="L33" i="1"/>
  <c r="A33" i="1"/>
  <c r="L32" i="1"/>
  <c r="A32" i="1"/>
  <c r="L31" i="1"/>
  <c r="A31" i="1"/>
  <c r="L30" i="1"/>
  <c r="A30" i="1"/>
  <c r="L29" i="1"/>
  <c r="A29" i="1"/>
  <c r="L28" i="1"/>
  <c r="A28" i="1"/>
  <c r="L27" i="1"/>
  <c r="A27" i="1"/>
  <c r="L26" i="1"/>
  <c r="A26" i="1"/>
  <c r="L25" i="1"/>
  <c r="A25" i="1"/>
  <c r="L24" i="1"/>
  <c r="A24" i="1"/>
  <c r="L23" i="1"/>
  <c r="A23" i="1"/>
  <c r="L22" i="1"/>
  <c r="A22" i="1"/>
  <c r="L21" i="1"/>
  <c r="A21" i="1"/>
  <c r="L20" i="1"/>
  <c r="A20" i="1"/>
  <c r="L19" i="1"/>
  <c r="A19" i="1"/>
  <c r="L18" i="1"/>
  <c r="A18" i="1"/>
  <c r="L17" i="1"/>
  <c r="A17" i="1"/>
  <c r="L16" i="1"/>
  <c r="A16" i="1"/>
  <c r="L15" i="1"/>
  <c r="A15" i="1"/>
  <c r="L14" i="1"/>
  <c r="A14" i="1"/>
  <c r="L13" i="1"/>
  <c r="A13" i="1"/>
  <c r="L12" i="1"/>
  <c r="A12" i="1"/>
  <c r="L11" i="1"/>
  <c r="A11" i="1"/>
  <c r="L10" i="1"/>
  <c r="A10" i="1"/>
  <c r="L9" i="1"/>
  <c r="A9" i="1"/>
  <c r="L8" i="1"/>
  <c r="A8" i="1"/>
  <c r="L7" i="1"/>
  <c r="A7" i="1"/>
  <c r="L6" i="1"/>
  <c r="A6" i="1"/>
  <c r="L5" i="1"/>
  <c r="A5" i="1"/>
  <c r="L2" i="1" l="1"/>
</calcChain>
</file>

<file path=xl/sharedStrings.xml><?xml version="1.0" encoding="utf-8"?>
<sst xmlns="http://schemas.openxmlformats.org/spreadsheetml/2006/main" count="6380" uniqueCount="3168">
  <si>
    <t>TOTAL</t>
  </si>
  <si>
    <t>Reference</t>
  </si>
  <si>
    <t>Description</t>
  </si>
  <si>
    <t>Quantity</t>
  </si>
  <si>
    <t>Stock</t>
  </si>
  <si>
    <t>EAN</t>
  </si>
  <si>
    <t>Expire date</t>
  </si>
  <si>
    <t>U.Box</t>
  </si>
  <si>
    <t>Box*Layer</t>
  </si>
  <si>
    <t>UD./Pal.U.Palet</t>
  </si>
  <si>
    <t>Box*Palet</t>
  </si>
  <si>
    <t>Total</t>
  </si>
  <si>
    <t>Offer validity to</t>
  </si>
  <si>
    <t>DUN</t>
  </si>
  <si>
    <t>Languages</t>
  </si>
  <si>
    <t>PESO</t>
  </si>
  <si>
    <t>No.</t>
  </si>
  <si>
    <t>20</t>
  </si>
  <si>
    <t>576</t>
  </si>
  <si>
    <t>Ace bleach 1 l. Classic.</t>
  </si>
  <si>
    <t>8001480020412</t>
  </si>
  <si>
    <t>18</t>
  </si>
  <si>
    <t>36</t>
  </si>
  <si>
    <t>08001480109698</t>
  </si>
  <si>
    <t>es, fr.</t>
  </si>
  <si>
    <t>Ace bleach 2 l. Classic.</t>
  </si>
  <si>
    <t>8001480020429</t>
  </si>
  <si>
    <t>10</t>
  </si>
  <si>
    <t>35</t>
  </si>
  <si>
    <t>08001480109704</t>
  </si>
  <si>
    <t>es.</t>
  </si>
  <si>
    <t>Ace bleach 2 l. Freshness of the countryside.</t>
  </si>
  <si>
    <t>8001480020467</t>
  </si>
  <si>
    <t>08001480109742</t>
  </si>
  <si>
    <t>Ace bleach 2 l. Perfume of marsella.</t>
  </si>
  <si>
    <t>8001480020481</t>
  </si>
  <si>
    <t>08001480109766</t>
  </si>
  <si>
    <t>Air Wick air freshener candle 205 gr. Botanica caribbean vetiver and sandalwood.</t>
  </si>
  <si>
    <t>8410104895853</t>
  </si>
  <si>
    <t>6</t>
  </si>
  <si>
    <t>160</t>
  </si>
  <si>
    <t>18410104895850</t>
  </si>
  <si>
    <t>es, pt.</t>
  </si>
  <si>
    <t>Air Wick air freshener candle 205 gr. Botanica granada y bergamota.</t>
  </si>
  <si>
    <t>8410104899745</t>
  </si>
  <si>
    <t>18410104899742</t>
  </si>
  <si>
    <t>5</t>
  </si>
  <si>
    <t>144</t>
  </si>
  <si>
    <t>Ambipur car refill 2X7 ml. Pacific air.</t>
  </si>
  <si>
    <t>8414300031176</t>
  </si>
  <si>
    <t>12</t>
  </si>
  <si>
    <t>288</t>
  </si>
  <si>
    <t>05410076106189</t>
  </si>
  <si>
    <t>es, it , pt.</t>
  </si>
  <si>
    <t>Ambipur car refill 7 ml. Acqua.</t>
  </si>
  <si>
    <t>5410076328376</t>
  </si>
  <si>
    <t>9</t>
  </si>
  <si>
    <t>216</t>
  </si>
  <si>
    <t>04084500341005</t>
  </si>
  <si>
    <t>es, it, pt.</t>
  </si>
  <si>
    <t>Ambipur spray deodorant 185 ml. Orange &amp; cinnamon.</t>
  </si>
  <si>
    <t>8700216565561</t>
  </si>
  <si>
    <t>8</t>
  </si>
  <si>
    <t>120</t>
  </si>
  <si>
    <t>08700216565585</t>
  </si>
  <si>
    <t>it, es, pt.</t>
  </si>
  <si>
    <t>Aquafresh mouthwash 500 ml. Fresh mint.</t>
  </si>
  <si>
    <t>5000347054303</t>
  </si>
  <si>
    <t>08/2027</t>
  </si>
  <si>
    <t>192</t>
  </si>
  <si>
    <t>05000469054304</t>
  </si>
  <si>
    <t>en.</t>
  </si>
  <si>
    <t>Aquafresh mouthwash 500 ml. Intense clean energy fresh.</t>
  </si>
  <si>
    <t>8016825967857</t>
  </si>
  <si>
    <t>8016825667856</t>
  </si>
  <si>
    <t>it, pt.</t>
  </si>
  <si>
    <t>08/2026</t>
  </si>
  <si>
    <t>195</t>
  </si>
  <si>
    <t>it, es.</t>
  </si>
  <si>
    <t>Aquafresh toothpaste 75 ml. Multi action classic.</t>
  </si>
  <si>
    <t>8016825991982</t>
  </si>
  <si>
    <t>228</t>
  </si>
  <si>
    <t>8016825691981</t>
  </si>
  <si>
    <t>Aquafresh toothpaste 75 ml. Multi action extra fresh.</t>
  </si>
  <si>
    <t>8016825991999</t>
  </si>
  <si>
    <t>8016825691998</t>
  </si>
  <si>
    <t>it, el.</t>
  </si>
  <si>
    <t>Ariel detergent gel 60 dose 2,7 l. Professional basic.</t>
  </si>
  <si>
    <t>8700216748452</t>
  </si>
  <si>
    <t>2</t>
  </si>
  <si>
    <t>84</t>
  </si>
  <si>
    <t>8700216748469</t>
  </si>
  <si>
    <t>Ariel detergent in tabs 44+16 u. Original all in one.</t>
  </si>
  <si>
    <t>8700216715300</t>
  </si>
  <si>
    <t>72</t>
  </si>
  <si>
    <t>08700216715270</t>
  </si>
  <si>
    <t>Ariel detergent in tabs 50 u. Professional color.</t>
  </si>
  <si>
    <t>8700216753043</t>
  </si>
  <si>
    <t>8700216753036</t>
  </si>
  <si>
    <t>es, pt, fr.</t>
  </si>
  <si>
    <t>Ariel detergent in tabs 50 u. Professional original.</t>
  </si>
  <si>
    <t>8700216752879</t>
  </si>
  <si>
    <t>8700216752855</t>
  </si>
  <si>
    <t>Arun air freshener 300 ml. Apple &amp; cinnamon.</t>
  </si>
  <si>
    <t>8436609250423</t>
  </si>
  <si>
    <t>04/2028</t>
  </si>
  <si>
    <t>24</t>
  </si>
  <si>
    <t>66</t>
  </si>
  <si>
    <t>28436609250427</t>
  </si>
  <si>
    <t>es, en, fr, pt, hu, ro, nl.</t>
  </si>
  <si>
    <t>Arun air freshener 300 ml. Clean cloches.</t>
  </si>
  <si>
    <t>8436609250447</t>
  </si>
  <si>
    <t>28436609250441</t>
  </si>
  <si>
    <t>Arun air freshener 300 ml. Lavender.</t>
  </si>
  <si>
    <t>8436609250430</t>
  </si>
  <si>
    <t>03/2028</t>
  </si>
  <si>
    <t>28436609250434</t>
  </si>
  <si>
    <t>Arun air freshener 300 ml. Ocean.</t>
  </si>
  <si>
    <t>8436609250416</t>
  </si>
  <si>
    <t>28436609250410</t>
  </si>
  <si>
    <t>Arun air freshener 300 ml. Talcum.</t>
  </si>
  <si>
    <t>8436609250959</t>
  </si>
  <si>
    <t>28436609250953</t>
  </si>
  <si>
    <t>Arun air freshener 600 ml. Apple &amp; cinnamond.</t>
  </si>
  <si>
    <t>8436609250461</t>
  </si>
  <si>
    <t>05/2028</t>
  </si>
  <si>
    <t>145</t>
  </si>
  <si>
    <t>18436609250468</t>
  </si>
  <si>
    <t>Arun air freshener 600 ml. Clean cloches.</t>
  </si>
  <si>
    <t>8436609250454</t>
  </si>
  <si>
    <t>09/2026</t>
  </si>
  <si>
    <t>18436609250451</t>
  </si>
  <si>
    <t>Arun air freshener 600 ml. Lavender</t>
  </si>
  <si>
    <t>8436609250485</t>
  </si>
  <si>
    <t>18436609250482</t>
  </si>
  <si>
    <t>Arun air freshener 600 ml. Ocean.</t>
  </si>
  <si>
    <t>8436609250478</t>
  </si>
  <si>
    <t>18436609250475</t>
  </si>
  <si>
    <t>Arun air freshener refill  250 ml. Talcum.</t>
  </si>
  <si>
    <t>8436609250287</t>
  </si>
  <si>
    <t>80</t>
  </si>
  <si>
    <t>28436609250281</t>
  </si>
  <si>
    <t>es, en, fr, pt, ro, nl.</t>
  </si>
  <si>
    <t>Arun air freshener refill 250 ml. Apple &amp; cinnamon.</t>
  </si>
  <si>
    <t>8436609250164</t>
  </si>
  <si>
    <t>28436609250168</t>
  </si>
  <si>
    <t>Arun air freshener refill 250 ml. Clean clothes.</t>
  </si>
  <si>
    <t>8436609250294</t>
  </si>
  <si>
    <t>11/2026</t>
  </si>
  <si>
    <t>28436609250298</t>
  </si>
  <si>
    <t>Arun air freshener refill 250 ml. Cologne.</t>
  </si>
  <si>
    <t>8436609250270</t>
  </si>
  <si>
    <t>28436609250274</t>
  </si>
  <si>
    <t>Arun air freshener refill 250 ml. Jasmine.</t>
  </si>
  <si>
    <t>8436609250157</t>
  </si>
  <si>
    <t>28436609250151</t>
  </si>
  <si>
    <t>Arun air freshener refill 250 ml. Lavender.</t>
  </si>
  <si>
    <t>8436609250171</t>
  </si>
  <si>
    <t>28436609250175</t>
  </si>
  <si>
    <t>Arun air freshener refill 250 ml. Magnolia &amp; cherry blossom.</t>
  </si>
  <si>
    <t>8436609250195</t>
  </si>
  <si>
    <t>28436609250199</t>
  </si>
  <si>
    <t>Arun air freshener refill 250 ml. Ocean.</t>
  </si>
  <si>
    <t>8436609250188</t>
  </si>
  <si>
    <t>08/2028</t>
  </si>
  <si>
    <t>28436609250182</t>
  </si>
  <si>
    <t>Arun air freshener refill 250 ml. Red fruits.</t>
  </si>
  <si>
    <t>8436609250492</t>
  </si>
  <si>
    <t>28436609250496</t>
  </si>
  <si>
    <t>Arun air freshener refill 250 ml. Tropical dream.</t>
  </si>
  <si>
    <t>8436609250508</t>
  </si>
  <si>
    <t>10/2026</t>
  </si>
  <si>
    <t>28436609250502</t>
  </si>
  <si>
    <t>Arun bayeta Scrubby 3u. Scrubbing cloth.</t>
  </si>
  <si>
    <t>8436609250980</t>
  </si>
  <si>
    <t>336</t>
  </si>
  <si>
    <t>18436609250987</t>
  </si>
  <si>
    <t>es, fr, en, it, pt, ro, cz, de, hr, pl, sk, si, ar.</t>
  </si>
  <si>
    <t>Arun bin bag 10 u. 70X75 blue 50 L.</t>
  </si>
  <si>
    <t>8436609250645</t>
  </si>
  <si>
    <t>15</t>
  </si>
  <si>
    <t>18436609250642</t>
  </si>
  <si>
    <t>es, fr, nl, en , pt, it.</t>
  </si>
  <si>
    <t>Arun bin bag 10 u. 85X105 black 120 L.</t>
  </si>
  <si>
    <t>8436609250690</t>
  </si>
  <si>
    <t>25</t>
  </si>
  <si>
    <t>40</t>
  </si>
  <si>
    <t>18436609250697</t>
  </si>
  <si>
    <t>es, fr, nl, en, pt, it.</t>
  </si>
  <si>
    <t>Arun bin bag 15 u. 55X60 blue 30 L.</t>
  </si>
  <si>
    <t>8436609250669</t>
  </si>
  <si>
    <t>21</t>
  </si>
  <si>
    <t>70</t>
  </si>
  <si>
    <t>18436609250666</t>
  </si>
  <si>
    <t>Arun bin bag 15 u. 55X60 green 30 L.</t>
  </si>
  <si>
    <t>8436609250652</t>
  </si>
  <si>
    <t>18436609250659</t>
  </si>
  <si>
    <t>Arun bin bag 15 u. 55X60 premium pink 30 L.</t>
  </si>
  <si>
    <t>8436609250676</t>
  </si>
  <si>
    <t>18436609250673</t>
  </si>
  <si>
    <t>Arun broom 1 u. Classic home.</t>
  </si>
  <si>
    <t>8437021720112</t>
  </si>
  <si>
    <t>48</t>
  </si>
  <si>
    <t>18437021720126</t>
  </si>
  <si>
    <t>en, es.</t>
  </si>
  <si>
    <t>Arun broom 1 u. New basic.</t>
  </si>
  <si>
    <t>8436609250539</t>
  </si>
  <si>
    <t>18436609250536</t>
  </si>
  <si>
    <t>Arun broom 1u. Easy clean.</t>
  </si>
  <si>
    <t>8437021720129</t>
  </si>
  <si>
    <t>18437021720119</t>
  </si>
  <si>
    <t>Arun clean floor 1,5 l. Concentrate bouquet.</t>
  </si>
  <si>
    <t>8437021720716</t>
  </si>
  <si>
    <t>76</t>
  </si>
  <si>
    <t>18437021720713</t>
  </si>
  <si>
    <t>es, fr, ro, nl, ar.</t>
  </si>
  <si>
    <t>Arun clean floor 1,5 l. Concentrate citrus.</t>
  </si>
  <si>
    <t>8437021720334</t>
  </si>
  <si>
    <t>18437021720331</t>
  </si>
  <si>
    <t>Arun clean floor 1,5 l. Concentrate flowers.</t>
  </si>
  <si>
    <t>8437021720327</t>
  </si>
  <si>
    <t>18437021720324</t>
  </si>
  <si>
    <t>Arun concentrated softener 80 dose 2 L. Aloe vera.</t>
  </si>
  <si>
    <t>8436609250355</t>
  </si>
  <si>
    <t>18436609250352</t>
  </si>
  <si>
    <t>es, fr, pt, it, nl, ar.</t>
  </si>
  <si>
    <t>Arun concentrated softener 80 dose 2 l. Azul.</t>
  </si>
  <si>
    <t>8436609250331</t>
  </si>
  <si>
    <t>18436609250338</t>
  </si>
  <si>
    <t>Arun concentrated softener 80 dose 2 L. Cologne.</t>
  </si>
  <si>
    <t>8436609250362</t>
  </si>
  <si>
    <t>18436609250369</t>
  </si>
  <si>
    <t>Arun concentrated softener 80 dose 2 l. Marsella.</t>
  </si>
  <si>
    <t>8436609250348</t>
  </si>
  <si>
    <t>18436609250345</t>
  </si>
  <si>
    <t>Arun foam cleanser 600 ml. Multipurpose.</t>
  </si>
  <si>
    <t>8436609250775</t>
  </si>
  <si>
    <t>06/2027</t>
  </si>
  <si>
    <t>18436609250772</t>
  </si>
  <si>
    <t>es, fr, nl, pt, ro.</t>
  </si>
  <si>
    <t>Arun gel detergent 60 dose 4 L. Aloe vera - New pack.</t>
  </si>
  <si>
    <t>8436609250393</t>
  </si>
  <si>
    <t>4</t>
  </si>
  <si>
    <t>44</t>
  </si>
  <si>
    <t>28436609250397</t>
  </si>
  <si>
    <t>en, fr, nl, pt, ro, es.</t>
  </si>
  <si>
    <t>Arun gel detergent 60 dose 4 l. Aloe vera - New pack.</t>
  </si>
  <si>
    <t>38436609250394</t>
  </si>
  <si>
    <t>Arun gel detergent 60 dose 4 l. Aloe vera.</t>
  </si>
  <si>
    <t>48436609250391</t>
  </si>
  <si>
    <t>es, en, pt, ro, ar.</t>
  </si>
  <si>
    <t>Arun gel detergent 60 dose 4 l. Black soap - New pack.</t>
  </si>
  <si>
    <t>8436609250225</t>
  </si>
  <si>
    <t>28436609250229</t>
  </si>
  <si>
    <t>Arun gel detergent 60 dose 4 l. Black soap.</t>
  </si>
  <si>
    <t>18436609250222</t>
  </si>
  <si>
    <t>Arun gel detergent 60 dose 4 l. Cologne - New pack.</t>
  </si>
  <si>
    <t>8436609250386</t>
  </si>
  <si>
    <t>38436609250387</t>
  </si>
  <si>
    <t>Arun gel detergent 60 dose 4 L. Cologne.</t>
  </si>
  <si>
    <t>08436609250409</t>
  </si>
  <si>
    <t>es, fr, pt, ro, ar.</t>
  </si>
  <si>
    <t>Arun gel detergent 60 dose 4 l. Color - New pack.</t>
  </si>
  <si>
    <t>8437021720402</t>
  </si>
  <si>
    <t>58437021720407</t>
  </si>
  <si>
    <t>38437021720403</t>
  </si>
  <si>
    <t>Arun gel detergent 60 dose 4 l. Color.</t>
  </si>
  <si>
    <t>28437021720406</t>
  </si>
  <si>
    <t>08437021720402</t>
  </si>
  <si>
    <t>Arun gel detergent 60 dose 4 l. Marsella soap.</t>
  </si>
  <si>
    <t>8437021720389</t>
  </si>
  <si>
    <t>48437021720387</t>
  </si>
  <si>
    <t>es,  en, pt, ro, ar.</t>
  </si>
  <si>
    <t>Arun gel detergent 60 dose 4 l. Marsella soap. New pack.</t>
  </si>
  <si>
    <t>28437021720383</t>
  </si>
  <si>
    <t>Arun gel detergent 60 dose 4 l. White clothes</t>
  </si>
  <si>
    <t>8437021720396</t>
  </si>
  <si>
    <t>28437021720390</t>
  </si>
  <si>
    <t>Arun gel detergent 60 dose 4 l. White clothes - New pack.</t>
  </si>
  <si>
    <t>48437021720394</t>
  </si>
  <si>
    <t>Arun grease remover 1 l. Lemon</t>
  </si>
  <si>
    <t>8437021720686</t>
  </si>
  <si>
    <t>18437021720683</t>
  </si>
  <si>
    <t>Arun kitchen paper 2 u. Lemon.</t>
  </si>
  <si>
    <t>8436609250218</t>
  </si>
  <si>
    <t>27</t>
  </si>
  <si>
    <t>84366092502184</t>
  </si>
  <si>
    <t>es, pt, en, fr, it, ar.</t>
  </si>
  <si>
    <t>Arun liquid dishwasher 1 l. Ultra concentrated Lemon.</t>
  </si>
  <si>
    <t>8436609250607</t>
  </si>
  <si>
    <t>16</t>
  </si>
  <si>
    <t>18436609250246</t>
  </si>
  <si>
    <t>es, fr, pt, nl.</t>
  </si>
  <si>
    <t>Arun liquid dishwasher 1 l. Ultra concentrated. New formula.</t>
  </si>
  <si>
    <t>8436609250584</t>
  </si>
  <si>
    <t>18436609250581</t>
  </si>
  <si>
    <t>Arun microfiber cleaning cloth 3+1 u. XL colors.</t>
  </si>
  <si>
    <t>8436609250997</t>
  </si>
  <si>
    <t>18436609250994</t>
  </si>
  <si>
    <t>Arun powder detergent 16 dose 1 Kg. White and colored clothes.</t>
  </si>
  <si>
    <t>8436609250706</t>
  </si>
  <si>
    <t>45</t>
  </si>
  <si>
    <t>18436609250703</t>
  </si>
  <si>
    <t>es, fr, nl, pt, en.</t>
  </si>
  <si>
    <t>Arun toilet paper 3 layers. Super soft pack 6 u.</t>
  </si>
  <si>
    <t>8436609250263</t>
  </si>
  <si>
    <t>7</t>
  </si>
  <si>
    <t>47</t>
  </si>
  <si>
    <t>08436609250263</t>
  </si>
  <si>
    <t>Ausonia sanitary towels 30 u. Maxi.</t>
  </si>
  <si>
    <t>8001090793584</t>
  </si>
  <si>
    <t>105</t>
  </si>
  <si>
    <t>08006540608715</t>
  </si>
  <si>
    <t>Ausonia sanitary towels 40 u. Normal.</t>
  </si>
  <si>
    <t>8001090793546</t>
  </si>
  <si>
    <t>08006540574904</t>
  </si>
  <si>
    <t>AXE deodorant bodyspray 150 ml. Adrenaline.</t>
  </si>
  <si>
    <t>6001087364652</t>
  </si>
  <si>
    <t>10/2027</t>
  </si>
  <si>
    <t>26001087364656</t>
  </si>
  <si>
    <t>en, fr, pt.</t>
  </si>
  <si>
    <t>en, fr, es, pt.</t>
  </si>
  <si>
    <t>AXE deodorant bodyspray 150 ml. Excite.</t>
  </si>
  <si>
    <t>6001087364638</t>
  </si>
  <si>
    <t>26001087364632</t>
  </si>
  <si>
    <t>AXE deodorant bodyspray 150 ml. Ice chill.</t>
  </si>
  <si>
    <t>6001087379267</t>
  </si>
  <si>
    <t>50</t>
  </si>
  <si>
    <t>26001087379261</t>
  </si>
  <si>
    <t>AXE deodorant bodyspray 150 ml. Musk.</t>
  </si>
  <si>
    <t>6001087364669</t>
  </si>
  <si>
    <t>26001087364663</t>
  </si>
  <si>
    <t>AXE deodorant bodyspray 150 ml. Wild Spice.</t>
  </si>
  <si>
    <t>6001087364690</t>
  </si>
  <si>
    <t>42</t>
  </si>
  <si>
    <t>26001087364694</t>
  </si>
  <si>
    <t>112</t>
  </si>
  <si>
    <t>AXE gel 400 ml. Apollo.</t>
  </si>
  <si>
    <t>8720181153976</t>
  </si>
  <si>
    <t>08720181154119</t>
  </si>
  <si>
    <t>AXE gel 400 ml. Black.</t>
  </si>
  <si>
    <t>8720181153938</t>
  </si>
  <si>
    <t>08720181154034</t>
  </si>
  <si>
    <t>AXE gel 400 ml. Dark temptation.</t>
  </si>
  <si>
    <t>8720181153921</t>
  </si>
  <si>
    <t>08720181154010</t>
  </si>
  <si>
    <t>en, pt, fr, es.</t>
  </si>
  <si>
    <t>AXE gel 400 ml. Excite.</t>
  </si>
  <si>
    <t>8720181153983</t>
  </si>
  <si>
    <t>08720181154133</t>
  </si>
  <si>
    <t>Barbie shampoo &amp; gel 500 ml.</t>
  </si>
  <si>
    <t>8411114094458</t>
  </si>
  <si>
    <t>114</t>
  </si>
  <si>
    <t>18411114094455</t>
  </si>
  <si>
    <t>es, en, fr, de, it, pt, nl, el, pl, ar, da, no, fi, sv.</t>
  </si>
  <si>
    <t>Bic blades 4 u. Hibrid flex 5.</t>
  </si>
  <si>
    <t>3086123644885</t>
  </si>
  <si>
    <t>90</t>
  </si>
  <si>
    <t>03086129889341</t>
  </si>
  <si>
    <t>en, fr, nl, de, it, es, pt, dk, no, se, fi, el, pl, ro, hu, ru, ua, tr, cz, sk.</t>
  </si>
  <si>
    <t>Bic blades platinum chrome 10 u.</t>
  </si>
  <si>
    <t>3086123148925</t>
  </si>
  <si>
    <t>30</t>
  </si>
  <si>
    <t>168</t>
  </si>
  <si>
    <t>03086128746591</t>
  </si>
  <si>
    <t>en, fr, nl, de, it, es, pt, dk, n, s, fi, el, pl, ro, hu, ru, ua, tr, cz, sk.</t>
  </si>
  <si>
    <t>Bic Flex 3 razor 4 u. Sensitive.</t>
  </si>
  <si>
    <t>3086123568693</t>
  </si>
  <si>
    <t>03086129801336</t>
  </si>
  <si>
    <t>Bic Flex 3 razor 4+2 u. Classic.</t>
  </si>
  <si>
    <t>3086123242593</t>
  </si>
  <si>
    <t>03086128896999</t>
  </si>
  <si>
    <t>Bic razor 10+5 u. 2 blades comfort.</t>
  </si>
  <si>
    <t>3086126693415</t>
  </si>
  <si>
    <t>96</t>
  </si>
  <si>
    <t>03086128788546</t>
  </si>
  <si>
    <t>en, fr, nl, de, it, es, pt, dk, fi, el, pl, ro, hu, ru, ua, tr, cz, sk.</t>
  </si>
  <si>
    <t>Bic razor 4 u. Miss soleil 3 blades.</t>
  </si>
  <si>
    <t>3086123262270</t>
  </si>
  <si>
    <t>140</t>
  </si>
  <si>
    <t>03086128897545</t>
  </si>
  <si>
    <t>Bic razor 4+2 u. 3 blades sensitive.</t>
  </si>
  <si>
    <t>3086126693279</t>
  </si>
  <si>
    <t>108</t>
  </si>
  <si>
    <t>03086128729075</t>
  </si>
  <si>
    <t>en, fr, nl, de, es, pt, no, fi, pl, el, ro, ru, hu, ua, tr, cz, sk</t>
  </si>
  <si>
    <t>Bic razor 5 u. 1 blade sensitive.</t>
  </si>
  <si>
    <t>3086125705010</t>
  </si>
  <si>
    <t>64</t>
  </si>
  <si>
    <t>03086128385219</t>
  </si>
  <si>
    <t>Bic razor 5 u. 2 blades sensitive green.</t>
  </si>
  <si>
    <t>3086127501061</t>
  </si>
  <si>
    <t>03086128221128</t>
  </si>
  <si>
    <t>en, fr, nl, de, it, es, pt, dk, no, sv, fi, el, pl, ro, hu, ua, ru, tr, ce, sk, ar.</t>
  </si>
  <si>
    <t>Bic razor 5 u. 2 blades sensitive yellow.</t>
  </si>
  <si>
    <t>3086126674704</t>
  </si>
  <si>
    <t xml:space="preserve">No. </t>
  </si>
  <si>
    <t>03086128385288</t>
  </si>
  <si>
    <t>en, fr,nl, de, it, es, pt, dk,  no, sv, fi, pl, el, ro, hu, ru, ua, tr, ce, sk.</t>
  </si>
  <si>
    <t>Bic soleil 3 blades 4 u. Sensitive.</t>
  </si>
  <si>
    <t>3086123644915</t>
  </si>
  <si>
    <t>03086129889372</t>
  </si>
  <si>
    <t>Bic soleil 3 ladies' razor 1 u. + 2 refill. 3 blades Sensitive.</t>
  </si>
  <si>
    <t>3086123644953</t>
  </si>
  <si>
    <t>03086129889365</t>
  </si>
  <si>
    <t>Bic twin lady razor 5 u. 2 blades.</t>
  </si>
  <si>
    <t>3086127500934</t>
  </si>
  <si>
    <t>99</t>
  </si>
  <si>
    <t>03086128221135</t>
  </si>
  <si>
    <t>en, fr, nl, da, it, es, pt, dk, n, s, fi, el, pl, ro, hu, ru, ua, tr, cz, sk.</t>
  </si>
  <si>
    <t>Bref WC 2X50 gr. Retro edition.</t>
  </si>
  <si>
    <t>8410436491105</t>
  </si>
  <si>
    <t>08410436491112</t>
  </si>
  <si>
    <t>Bref WC 2X50 gr. Pop edition.</t>
  </si>
  <si>
    <t>8410436491167</t>
  </si>
  <si>
    <t>08410436491174</t>
  </si>
  <si>
    <t>Bref WC Blue Active 3X50 gr. Hygienic.</t>
  </si>
  <si>
    <t>8410436307048</t>
  </si>
  <si>
    <t>08410436307055</t>
  </si>
  <si>
    <t>Bref WC power active 2X50 g. Lavender.</t>
  </si>
  <si>
    <t>8015100570980</t>
  </si>
  <si>
    <t>08015500613546</t>
  </si>
  <si>
    <t>pt, es.</t>
  </si>
  <si>
    <t>Bref WC Power Active 2X50 gr. Flower.</t>
  </si>
  <si>
    <t>8410436497978</t>
  </si>
  <si>
    <t>08410436497985</t>
  </si>
  <si>
    <t>Bref WC Power Active 2X50 gr. Hawaii.</t>
  </si>
  <si>
    <t>8410436464444</t>
  </si>
  <si>
    <t>08410436464451</t>
  </si>
  <si>
    <t>Bref WC Power Active 2X50 gr. Lemon.</t>
  </si>
  <si>
    <t>8410436224840</t>
  </si>
  <si>
    <t>08410436224857</t>
  </si>
  <si>
    <t>Bref WC Power Active 3X50 gr. Lemon.</t>
  </si>
  <si>
    <t>8410436494533</t>
  </si>
  <si>
    <t>08410436494540</t>
  </si>
  <si>
    <t>Bref WC Power Active 3X50 gr. Ocean.</t>
  </si>
  <si>
    <t>8015100570133</t>
  </si>
  <si>
    <t>08410436497015</t>
  </si>
  <si>
    <t>Bref WC Power Active 3X50 gr. Pino.</t>
  </si>
  <si>
    <t>8015100570164</t>
  </si>
  <si>
    <t>08015500603998</t>
  </si>
  <si>
    <t>Bref WC Power Active 3X50 gr. Relax moments.</t>
  </si>
  <si>
    <t>8410436452311</t>
  </si>
  <si>
    <t>08410436452328</t>
  </si>
  <si>
    <t>Bref WC shiny gel 3X42 gr. All in one arctic ocean.</t>
  </si>
  <si>
    <t>8410436404532</t>
  </si>
  <si>
    <t>08410436404549</t>
  </si>
  <si>
    <t>Calgon gel 1200 ml. 4 en 1. 4 in 1 - 24 dose.</t>
  </si>
  <si>
    <t>4251758410337</t>
  </si>
  <si>
    <t>15601217138290</t>
  </si>
  <si>
    <t>en, de, fr, nl, es, pt, it.</t>
  </si>
  <si>
    <t>Calgon gel 750 ml. 4 in 1 - 15 dose.</t>
  </si>
  <si>
    <t>3141360050001</t>
  </si>
  <si>
    <t>31413600500014</t>
  </si>
  <si>
    <t>Calgon tablets powerball 195 gr.  3 in 1 - 15 u.</t>
  </si>
  <si>
    <t>4002448003533</t>
  </si>
  <si>
    <t>04002448003618</t>
  </si>
  <si>
    <t>Camay bar soap 3X125 gr. Classic.</t>
  </si>
  <si>
    <t>8999999058401</t>
  </si>
  <si>
    <t>98</t>
  </si>
  <si>
    <t>18886467237185</t>
  </si>
  <si>
    <t>en, fr, nl, de, ro, es, lt, lv, et, it, da, no, sv, el, cz, pl, pt, .</t>
  </si>
  <si>
    <t>Camay bar soap 3X125 gr. Natural.</t>
  </si>
  <si>
    <t>8999999058425</t>
  </si>
  <si>
    <t>18886467237109</t>
  </si>
  <si>
    <t>en, fr, nl, de, ro, es, lt, lv, et, da, no, sv, el, cz, pl, pt.</t>
  </si>
  <si>
    <t>Carefree sanitary towels 20 u. Cotton Feel.</t>
  </si>
  <si>
    <t>3574661552583</t>
  </si>
  <si>
    <t>35746615525830</t>
  </si>
  <si>
    <t>es, it , pt, el, ro, bg, rs, hr, si, mk, al, he, il.</t>
  </si>
  <si>
    <t>Chanson d'Eau deodorant spray 200 ml. Original.</t>
  </si>
  <si>
    <t>3614227427211</t>
  </si>
  <si>
    <t>165</t>
  </si>
  <si>
    <t>03614227427235</t>
  </si>
  <si>
    <t>en, es, ro, sk, cs, pl.</t>
  </si>
  <si>
    <t>Cif clean &amp; brightness multiporpose 750 ml. Antibacterial with bleach.</t>
  </si>
  <si>
    <t>8710908859274</t>
  </si>
  <si>
    <t>08710908859328</t>
  </si>
  <si>
    <t>Cillit Bang spray 750 ml. Bathroom hygiene.</t>
  </si>
  <si>
    <t>3059940003609</t>
  </si>
  <si>
    <t>33</t>
  </si>
  <si>
    <t>23059940003603</t>
  </si>
  <si>
    <t>Closeup toothpaste 90 gr. Eucalyptus freeze.</t>
  </si>
  <si>
    <t>6902088961430</t>
  </si>
  <si>
    <t>54</t>
  </si>
  <si>
    <t>16902088969082</t>
  </si>
  <si>
    <t>en, fr, de, hu, es, nl, ro, it.</t>
  </si>
  <si>
    <t>Closeup toothpaste 90 gr. Peppermint drops.</t>
  </si>
  <si>
    <t>6902088961416</t>
  </si>
  <si>
    <t>16902088969068</t>
  </si>
  <si>
    <t>Colgate toothbrush 1 u. Medium premier white.</t>
  </si>
  <si>
    <t>8714789733487</t>
  </si>
  <si>
    <t>08714789733463</t>
  </si>
  <si>
    <t>87147897334876</t>
  </si>
  <si>
    <t>Colgate toothbrush 1 u. Medium Zig Zag with cap.</t>
  </si>
  <si>
    <t>5000209223519</t>
  </si>
  <si>
    <t>280</t>
  </si>
  <si>
    <t>Colgate toothbrush 2 u. Extra clean medium.</t>
  </si>
  <si>
    <t>8714789162607</t>
  </si>
  <si>
    <t>175</t>
  </si>
  <si>
    <t>08714789162614</t>
  </si>
  <si>
    <t>Colgate toothpaste 100 ml. Herbal.</t>
  </si>
  <si>
    <t>6001067021452</t>
  </si>
  <si>
    <t>36001067521458</t>
  </si>
  <si>
    <t>en, fr, ar.</t>
  </si>
  <si>
    <t>Colgate toothpaste 75 ml. Herbal.</t>
  </si>
  <si>
    <t>8718951566682</t>
  </si>
  <si>
    <t>305</t>
  </si>
  <si>
    <t>08718951566675</t>
  </si>
  <si>
    <t>Colgate toothpaste 75 ml. Max white superior clean.</t>
  </si>
  <si>
    <t>8718951658615</t>
  </si>
  <si>
    <t>185</t>
  </si>
  <si>
    <t>08718951658608</t>
  </si>
  <si>
    <t>it, es, pt, el, pl, bg, sr, be, al, si, hr, mk.</t>
  </si>
  <si>
    <t>Colon detergent gel 24 dose 1200 ml. 24 dose. Basic white &amp; colored linen.</t>
  </si>
  <si>
    <t>8410104915575</t>
  </si>
  <si>
    <t>60</t>
  </si>
  <si>
    <t>18410104915572</t>
  </si>
  <si>
    <t>Colon detergent gel 25 dose 1125 ml. Active gel hygiene formula.</t>
  </si>
  <si>
    <t>8410104331405</t>
  </si>
  <si>
    <t>28410104331409</t>
  </si>
  <si>
    <t>Colon gel 25 dose 1,125 l. Higiene + Vanish Oxi Action 265 gr. Pink.</t>
  </si>
  <si>
    <t>8410104916497</t>
  </si>
  <si>
    <t>18410104916494</t>
  </si>
  <si>
    <t>Colon powder detergent 50+45 dose 4,75 kg.</t>
  </si>
  <si>
    <t>8410104910907</t>
  </si>
  <si>
    <t>1</t>
  </si>
  <si>
    <t>135</t>
  </si>
  <si>
    <t>Demak-up cotton 60 u. Unbleached cotton.</t>
  </si>
  <si>
    <t>7322540880038</t>
  </si>
  <si>
    <t>28</t>
  </si>
  <si>
    <t>7322540880021</t>
  </si>
  <si>
    <t>fr, de, nl, es, pt, it.</t>
  </si>
  <si>
    <t>Dixan gel detergent 55 dose 2.475 ml. Total color 4+1.</t>
  </si>
  <si>
    <t>8410436449014</t>
  </si>
  <si>
    <t>08410436449021</t>
  </si>
  <si>
    <t>Dodot diapers 164 u. Bebé seco 9-14 kg. Size 4.</t>
  </si>
  <si>
    <t>8006540592045</t>
  </si>
  <si>
    <t>es, pt, ar.</t>
  </si>
  <si>
    <t>56</t>
  </si>
  <si>
    <t>Dodot diapers 84 u. Bebé seco 6-10 kg. Size 3.</t>
  </si>
  <si>
    <t>8006540618547</t>
  </si>
  <si>
    <t>55</t>
  </si>
  <si>
    <t>Dodot pants 180 u. 12-17 kg. Size 5.</t>
  </si>
  <si>
    <t>8006540491409</t>
  </si>
  <si>
    <t>al, pt, az, ba, me, bg, hr, cz, dk, be, nl, en, ee, fi, fr, ge, de, gr, hu, it, kz, kg, lv, lt, mk, no, pl, md, ro, by, ru, rs, sk, si, es, fi, se, tr, ua, uz.</t>
  </si>
  <si>
    <t>3</t>
  </si>
  <si>
    <t>Dove bath gel 450 ml. Go fresh cucumber and green tea.</t>
  </si>
  <si>
    <t>8720181492990</t>
  </si>
  <si>
    <t>08720181493058</t>
  </si>
  <si>
    <t>it.</t>
  </si>
  <si>
    <t>Dove bath gel 450 ml. Lotus flower.</t>
  </si>
  <si>
    <t>8720181493379</t>
  </si>
  <si>
    <t>08720181493515</t>
  </si>
  <si>
    <t>Dove bath gel 450 ml. Original.</t>
  </si>
  <si>
    <t>8720181494277</t>
  </si>
  <si>
    <t>08720181494345</t>
  </si>
  <si>
    <t>Dove bath gel 450 ml. Silk.</t>
  </si>
  <si>
    <t>8720181494338</t>
  </si>
  <si>
    <t>08720181494543</t>
  </si>
  <si>
    <t>Dove bath gel 450 ml. Talcum.</t>
  </si>
  <si>
    <t>8720181493256</t>
  </si>
  <si>
    <t>08720181493393</t>
  </si>
  <si>
    <t>Dove beauty box rutine.</t>
  </si>
  <si>
    <t>8720182476647</t>
  </si>
  <si>
    <t>Dove cream 75 ml. Men hydra cream face, hands and body.</t>
  </si>
  <si>
    <t>8901030755392</t>
  </si>
  <si>
    <t>136</t>
  </si>
  <si>
    <t>18901030755399</t>
  </si>
  <si>
    <t>fr, pl, es, de, nl, ro, cz, el, it, dk, no, sv.</t>
  </si>
  <si>
    <t>Dove deodorant cream 50 ml. Mushroom original.</t>
  </si>
  <si>
    <t>80466468</t>
  </si>
  <si>
    <t>531</t>
  </si>
  <si>
    <t>en, fr, be, nl, es.</t>
  </si>
  <si>
    <t>Dove deodorant spray 150 ml. Advanced care original.</t>
  </si>
  <si>
    <t>8720181291692</t>
  </si>
  <si>
    <t>448</t>
  </si>
  <si>
    <t>08720181306488</t>
  </si>
  <si>
    <t>cz, it, pl, se.</t>
  </si>
  <si>
    <t>Dove deodorant spray 200 ml. Advanced care cucumber and green tea.</t>
  </si>
  <si>
    <t>8720181292033</t>
  </si>
  <si>
    <t>384</t>
  </si>
  <si>
    <t>08720181292293</t>
  </si>
  <si>
    <t>en, hr, ba, bg, cz, es, hu, ro, mo, si, sk.</t>
  </si>
  <si>
    <t>Dove deodorant spray 200 ml. Advanced care invisible dry.</t>
  </si>
  <si>
    <t>8720181291951</t>
  </si>
  <si>
    <t>08720181292149</t>
  </si>
  <si>
    <t>en, hr, ba, bg, cz, es, el, cy, hu, nl, ro, rs, me, sk.</t>
  </si>
  <si>
    <t>Dove deodorant spray 200 ml. Advanced care original.</t>
  </si>
  <si>
    <t>8720181564765</t>
  </si>
  <si>
    <t>08720181564833</t>
  </si>
  <si>
    <t>en, be, fr, nl, de, es.</t>
  </si>
  <si>
    <t>Dove deodorant spray 200 ml. Classic fresh.</t>
  </si>
  <si>
    <t>8720181287831</t>
  </si>
  <si>
    <t>08720181565595</t>
  </si>
  <si>
    <t>et, it, lt, lv, pl, en.</t>
  </si>
  <si>
    <t>Dove deodorant spray 200 ml. Go fresh cucumber.</t>
  </si>
  <si>
    <t>8720181347115</t>
  </si>
  <si>
    <t>08720181347726</t>
  </si>
  <si>
    <t>et, it, lt, lv, pl.</t>
  </si>
  <si>
    <t>Dove deodorant spray 200 ml. Go fresh passion fruit.</t>
  </si>
  <si>
    <t>8720181347191</t>
  </si>
  <si>
    <t>08720181347887</t>
  </si>
  <si>
    <t>ee, it, lt, lv, pl, bg.</t>
  </si>
  <si>
    <t>Dove deodorant spray 200 ml. Men clean comfort.</t>
  </si>
  <si>
    <t>8720181340550</t>
  </si>
  <si>
    <t>01/2099</t>
  </si>
  <si>
    <t>08720181340635</t>
  </si>
  <si>
    <t>be, fr, nl, de, it, bg, ro, md.</t>
  </si>
  <si>
    <t>Dove deodorant spray 200 ml. Men extra fresh.</t>
  </si>
  <si>
    <t>8720181340543</t>
  </si>
  <si>
    <t>08720181340611</t>
  </si>
  <si>
    <t>bg, ee, it, lt, lv, ro, md.</t>
  </si>
  <si>
    <t>Dove deodorant spray 200 ml. Powder soft.</t>
  </si>
  <si>
    <t>8720181347252</t>
  </si>
  <si>
    <t>08720181347948</t>
  </si>
  <si>
    <t>et, it, lt, lv, pl, es.</t>
  </si>
  <si>
    <t>Dove deodorant spray 250 ml. Men clean comfort.</t>
  </si>
  <si>
    <t>8718114216324</t>
  </si>
  <si>
    <t>330</t>
  </si>
  <si>
    <t>08718114241647</t>
  </si>
  <si>
    <t>da, ch, be, it, nl, es, en, pl, cz, hu, ro, md.</t>
  </si>
  <si>
    <t>Dove intensive cream 75 ml. Original.</t>
  </si>
  <si>
    <t>8886467020124</t>
  </si>
  <si>
    <t>18901030755375</t>
  </si>
  <si>
    <t>es, nl, it, de, se, fi, no, dk.</t>
  </si>
  <si>
    <t>Dove intensive cream 75 ml. Pink blossom.</t>
  </si>
  <si>
    <t>8886467020094</t>
  </si>
  <si>
    <t>128</t>
  </si>
  <si>
    <t>18901030755382</t>
  </si>
  <si>
    <t>Dove lip balm 4,8 gr. Hydro nourishing.</t>
  </si>
  <si>
    <t>8886467027093</t>
  </si>
  <si>
    <t>352</t>
  </si>
  <si>
    <t>18886467027090</t>
  </si>
  <si>
    <t>en, de, fr, nl, it, es.</t>
  </si>
  <si>
    <t>8886467027109</t>
  </si>
  <si>
    <t>18886467027106</t>
  </si>
  <si>
    <t>Dove roll-on deodorant 50 ml. Advanced care coconut.</t>
  </si>
  <si>
    <t>59092681</t>
  </si>
  <si>
    <t>891</t>
  </si>
  <si>
    <t>08720181562235</t>
  </si>
  <si>
    <t>en, hr, ba, fr, el, cy, it, pl, ro, md, rs, me, si.</t>
  </si>
  <si>
    <t>Dove roll-on deodorant 50 ml. Advanced care cucumber.</t>
  </si>
  <si>
    <t>59092711</t>
  </si>
  <si>
    <t>08720181269844</t>
  </si>
  <si>
    <t>en, be, fr, nl, da, bg, cz, ee, el, cy, hr, ba, it, mk, ro, md, rs, me, si, sk.</t>
  </si>
  <si>
    <t>Dove roll-on deodorant 50 ml. Advanced care invisible dry.</t>
  </si>
  <si>
    <t>59084051</t>
  </si>
  <si>
    <t>08720181269684</t>
  </si>
  <si>
    <t>en, be, fr, nl, de, dk, es, fi, it, no, pt, se.</t>
  </si>
  <si>
    <t>Dove roll-on deodorant 50 ml. Advanced care original.</t>
  </si>
  <si>
    <t>59095842</t>
  </si>
  <si>
    <t>08720181273896</t>
  </si>
  <si>
    <t>en, fr, be, nl, da, dk, es, fi, it, no, pt, se.</t>
  </si>
  <si>
    <t>Dove roll-on deodorant 50 ml. Advanced care pear.</t>
  </si>
  <si>
    <t>59095866</t>
  </si>
  <si>
    <t>08720181284021</t>
  </si>
  <si>
    <t>en, hr, ba, hu, it, pt, si.</t>
  </si>
  <si>
    <t>Dove roll-on deodorant 50 ml. Advanced care pomegranate.</t>
  </si>
  <si>
    <t>59095316</t>
  </si>
  <si>
    <t>08720181563416</t>
  </si>
  <si>
    <t>en, dk, ee, fi, se, fr, it, lt, lv, nl, no, pl.</t>
  </si>
  <si>
    <t>Dove roll-on deodorant 50 ml. Advanced go fresh berry.</t>
  </si>
  <si>
    <t>59092667</t>
  </si>
  <si>
    <t>08720181268939</t>
  </si>
  <si>
    <t>en, dk, fi, se, it, nl, no, pt.</t>
  </si>
  <si>
    <t>Dove roll-on deodorant 50 ml. Classic.</t>
  </si>
  <si>
    <t>59095361</t>
  </si>
  <si>
    <t>08720181272202</t>
  </si>
  <si>
    <t>at, ch, be, fr, nl, cz, es, pt, en</t>
  </si>
  <si>
    <t>Dove roll-on deodorant 50 ml. Fresh.</t>
  </si>
  <si>
    <t>59095385</t>
  </si>
  <si>
    <t>08720181272288</t>
  </si>
  <si>
    <t>fr, be, es, dk, fi, nl, el, hu, no, pl, pt, se, en, it.</t>
  </si>
  <si>
    <t>Dove roll-on deodorant 50 ml. Men classic.</t>
  </si>
  <si>
    <t>59092643</t>
  </si>
  <si>
    <t>08720181267086</t>
  </si>
  <si>
    <t>en, fi, it, lt, lv, nl, pl, pt, se.</t>
  </si>
  <si>
    <t>Dove roll-on deodorant 50 ml. Powder.</t>
  </si>
  <si>
    <t>59095408</t>
  </si>
  <si>
    <t>08720181563713</t>
  </si>
  <si>
    <t>en, fi, el, it, lv, pl, pt, se, no</t>
  </si>
  <si>
    <t>08720181272363</t>
  </si>
  <si>
    <t>be, fr, nl, es, fi, el, it, no, pl, pt, se, en.</t>
  </si>
  <si>
    <t>Dove stick deodorant 40 ml. Original.</t>
  </si>
  <si>
    <t>80466437</t>
  </si>
  <si>
    <t>560</t>
  </si>
  <si>
    <t>05000228975901</t>
  </si>
  <si>
    <t>en, fr, ch, be, nl, es, pt, el, cy, de, it, sv, fi, da, no.</t>
  </si>
  <si>
    <t>Dove stick deodorant 50 ml. Classic fresh.</t>
  </si>
  <si>
    <t>59099666</t>
  </si>
  <si>
    <t>08720181574979</t>
  </si>
  <si>
    <t>ch, bg, cz, fi, se, it, lt, lv, no, pl, pt, ro, md, rs, sk, dk.</t>
  </si>
  <si>
    <t>Dove stick deodorant 50 ml. Men clean comfort.</t>
  </si>
  <si>
    <t>96081754</t>
  </si>
  <si>
    <t>08712561246378</t>
  </si>
  <si>
    <t>de, ch, be, fr, nl, dk, es, fi, no, pt, se, it.</t>
  </si>
  <si>
    <t>Dove stick deodorant 50 ml. Men cool fresh.</t>
  </si>
  <si>
    <t>96125595</t>
  </si>
  <si>
    <t>08710908318375</t>
  </si>
  <si>
    <t>cs, sk, pl, lv, lt, et, hu, hr, sl, ro, bg, mk.</t>
  </si>
  <si>
    <t>Dove stick deodorant 50 ml. Powder soft.</t>
  </si>
  <si>
    <t>59099680</t>
  </si>
  <si>
    <t>08720181575013</t>
  </si>
  <si>
    <t>bg, dk, fi, se, it, lt, lv, ro, pl, pt, rs, no.</t>
  </si>
  <si>
    <t>Duracell plus pilas alcalinas 4 u. AAA 4 1.5 V MN2400. !</t>
  </si>
  <si>
    <t>5000394176645</t>
  </si>
  <si>
    <t>03/2035</t>
  </si>
  <si>
    <t>1050</t>
  </si>
  <si>
    <t>05000394176652</t>
  </si>
  <si>
    <t>fr, it, pt, es, de, nl, za, el, cy, no, se, fi, is, zm, zw, il, he.</t>
  </si>
  <si>
    <t>Eau My Unicorn shampoo &amp; gel 500 ml.</t>
  </si>
  <si>
    <t>8411114094472</t>
  </si>
  <si>
    <t>18411114094479</t>
  </si>
  <si>
    <t>Elena detergent powder 120 dose case6 kg.</t>
  </si>
  <si>
    <t>8410104916503</t>
  </si>
  <si>
    <t>Eucerin dermopure 400 ml. Post-acne cleansing gel.</t>
  </si>
  <si>
    <t>4006000075716</t>
  </si>
  <si>
    <t>11/2027</t>
  </si>
  <si>
    <t>04005805462943</t>
  </si>
  <si>
    <t>Evax sanitary 12 u. Fina i Segura normal with wings.</t>
  </si>
  <si>
    <t>4084500213845</t>
  </si>
  <si>
    <t>04084500213838</t>
  </si>
  <si>
    <t>es,pt.</t>
  </si>
  <si>
    <t>Evax sanitary 30 u. Normal.</t>
  </si>
  <si>
    <t>8001841703749</t>
  </si>
  <si>
    <t>08001841703732</t>
  </si>
  <si>
    <t>Fa deodorant roll-on cristal 50 ml. Fresh sport.</t>
  </si>
  <si>
    <t>5410091771676</t>
  </si>
  <si>
    <t>476</t>
  </si>
  <si>
    <t>05412530942326</t>
  </si>
  <si>
    <t>es, en.</t>
  </si>
  <si>
    <t>Fa deodorant roll-on cristal 50 ml. Pink Passión.</t>
  </si>
  <si>
    <t>5410091728618</t>
  </si>
  <si>
    <t>54100917286182</t>
  </si>
  <si>
    <t>Fa deodorant roll-on crystal 50 ml. Caribbean Lemon.</t>
  </si>
  <si>
    <t>8410436264945</t>
  </si>
  <si>
    <t>08410436264976</t>
  </si>
  <si>
    <t>Fa deodorant roll-on crystal 50 ml. Fiji dream.</t>
  </si>
  <si>
    <t>8410436318860</t>
  </si>
  <si>
    <t>08410436318884</t>
  </si>
  <si>
    <t>Fa deodorant spray 150 ml. Caribbean lemons.</t>
  </si>
  <si>
    <t>5410091729974</t>
  </si>
  <si>
    <t>300</t>
  </si>
  <si>
    <t>05412530852724</t>
  </si>
  <si>
    <t>nl, fr, de, pt, es.</t>
  </si>
  <si>
    <t>Fa deodorant spray 150 ml. Pink passion.</t>
  </si>
  <si>
    <t>5410091729745</t>
  </si>
  <si>
    <t>05412530852137</t>
  </si>
  <si>
    <t>nl, fr, pt, es.</t>
  </si>
  <si>
    <t>54100917297455</t>
  </si>
  <si>
    <t>nl, fr, de, pt, es, be.</t>
  </si>
  <si>
    <t>Fa deodorant spray 150 ml. Sport.</t>
  </si>
  <si>
    <t>8410436437561</t>
  </si>
  <si>
    <t>08410436437585</t>
  </si>
  <si>
    <t>Fairy dishwasher liquid 450 ml. Lemon.</t>
  </si>
  <si>
    <t>4084500981737</t>
  </si>
  <si>
    <t>07/2027</t>
  </si>
  <si>
    <t>04084500981713</t>
  </si>
  <si>
    <t>ro, bg, sq.</t>
  </si>
  <si>
    <t>Fairy lavavajillas 2X450 ml. Maxi poder.</t>
  </si>
  <si>
    <t>8700216824385</t>
  </si>
  <si>
    <t>08700216824378</t>
  </si>
  <si>
    <t>es, pt</t>
  </si>
  <si>
    <t>Finish dishwasher gel 1 L. All in one Max anti-odor.</t>
  </si>
  <si>
    <t>8410104890483</t>
  </si>
  <si>
    <t>18410104890480</t>
  </si>
  <si>
    <t>Finish dishwasher gel 1 L. All in one Max shine &amp; protection.</t>
  </si>
  <si>
    <t>8410104124632</t>
  </si>
  <si>
    <t>53955447563231</t>
  </si>
  <si>
    <t>Finish dishwasher gel 1L. All in one shine &amp; protection lemon.</t>
  </si>
  <si>
    <t>8410104124649</t>
  </si>
  <si>
    <t>45633222654787</t>
  </si>
  <si>
    <t>Finish dishwasher gel 700 ml. Power all in one lemon.</t>
  </si>
  <si>
    <t>8410104124625</t>
  </si>
  <si>
    <t>28410104124629</t>
  </si>
  <si>
    <t>Finish dishwasher gel 700 ml. Power all in one.</t>
  </si>
  <si>
    <t>8410104124618</t>
  </si>
  <si>
    <t>84101041246180</t>
  </si>
  <si>
    <t>Finish dishwasher powerbal 125 u.Quantum Professional.</t>
  </si>
  <si>
    <t>3665468402758</t>
  </si>
  <si>
    <t>23665468402752</t>
  </si>
  <si>
    <t>es, fr, nl, de, pt</t>
  </si>
  <si>
    <t>Finish dishwasher powerball 100 u. Quantum professional all in one.</t>
  </si>
  <si>
    <t>3665468403496</t>
  </si>
  <si>
    <t>23665468403490</t>
  </si>
  <si>
    <t>fr, nl, es, de.</t>
  </si>
  <si>
    <t>Finish dishwasher powerball 15+15 u. Ultimate plus cyclesync.</t>
  </si>
  <si>
    <t>8410104915353</t>
  </si>
  <si>
    <t>18410104915350</t>
  </si>
  <si>
    <t>Finish dishwasher powerball 25+25 u. All in one.</t>
  </si>
  <si>
    <t>8410104893576</t>
  </si>
  <si>
    <t>18410104893573</t>
  </si>
  <si>
    <t>Finish dishwasher powerball 32 u. Ultimate all in one lemon.</t>
  </si>
  <si>
    <t>8410104914127</t>
  </si>
  <si>
    <t>18410104914124</t>
  </si>
  <si>
    <t>Finish dishwasher powerball 32+32 u. Ultimate.</t>
  </si>
  <si>
    <t>8410104914622</t>
  </si>
  <si>
    <t>38410104914623</t>
  </si>
  <si>
    <t>Finish dishwasher powerball 44 u. Ultimate all in one.</t>
  </si>
  <si>
    <t>8410104914110</t>
  </si>
  <si>
    <t>18410104914117</t>
  </si>
  <si>
    <t>Finish dishwasher powerball 6X20 u. All in one.</t>
  </si>
  <si>
    <t>5997321735559</t>
  </si>
  <si>
    <t>75</t>
  </si>
  <si>
    <t>15999109583496</t>
  </si>
  <si>
    <t>en, cz, sk, hu, si, sr.</t>
  </si>
  <si>
    <t>Finish dishwasher powerball 8+4 u. Quantum lemon.</t>
  </si>
  <si>
    <t>8410104916954</t>
  </si>
  <si>
    <t>18410104916951</t>
  </si>
  <si>
    <t>Finish dishwasher powerball 8+4 u. Quantum regular.</t>
  </si>
  <si>
    <t>8410104915728</t>
  </si>
  <si>
    <t>18410104915725</t>
  </si>
  <si>
    <t>Finish dishwasher powerball 100 u. Power all in one lemon.</t>
  </si>
  <si>
    <t>8410104899042</t>
  </si>
  <si>
    <t>18410104899049</t>
  </si>
  <si>
    <t>Finish dishwasher powerball 25+7 u. All in one power.</t>
  </si>
  <si>
    <t>8410104306014</t>
  </si>
  <si>
    <t>18410104306011</t>
  </si>
  <si>
    <t>Finish machine cleaning 2X250 ml. Lemon.</t>
  </si>
  <si>
    <t>8592326010716</t>
  </si>
  <si>
    <t>15999109582550</t>
  </si>
  <si>
    <t>cz, sk.</t>
  </si>
  <si>
    <t>Finish polish 250 ml. Lemon.</t>
  </si>
  <si>
    <t>8410104895013</t>
  </si>
  <si>
    <t>18410104895010</t>
  </si>
  <si>
    <t>Finish polish 400 ml. Lemon.</t>
  </si>
  <si>
    <t>8592326010396</t>
  </si>
  <si>
    <t>cs, hu, sk.</t>
  </si>
  <si>
    <t>Finish polish 800 ml.</t>
  </si>
  <si>
    <t>8410104489090</t>
  </si>
  <si>
    <t>18410104489097</t>
  </si>
  <si>
    <t>Finish salt 1 kg.</t>
  </si>
  <si>
    <t>5601217139290</t>
  </si>
  <si>
    <t>81</t>
  </si>
  <si>
    <t>15601217139297</t>
  </si>
  <si>
    <t>es, pt, el.</t>
  </si>
  <si>
    <t>Finish salt dishwasher 2 kg.</t>
  </si>
  <si>
    <t>8410104069117</t>
  </si>
  <si>
    <t>18410104691117</t>
  </si>
  <si>
    <t>Flor softener 59 dose 162 ml. Nenuco.</t>
  </si>
  <si>
    <t>8410104145354</t>
  </si>
  <si>
    <t>28410104102412</t>
  </si>
  <si>
    <t>Fluocaril toothbrush refill 2 u. Interdental PRO Medium.</t>
  </si>
  <si>
    <t>8720181175374</t>
  </si>
  <si>
    <t>924</t>
  </si>
  <si>
    <t>08720181175503</t>
  </si>
  <si>
    <t>fr, es.</t>
  </si>
  <si>
    <t>Fluocaril toothbrush refill 2 u. Interdental PRO Soft.</t>
  </si>
  <si>
    <t>8720181175350</t>
  </si>
  <si>
    <t>08720181175466</t>
  </si>
  <si>
    <t>Foresan liquid air freshener 125 ml. Deluxe.</t>
  </si>
  <si>
    <t>8414716502321</t>
  </si>
  <si>
    <t>09/2027</t>
  </si>
  <si>
    <t>68414716502323</t>
  </si>
  <si>
    <t>es, en, pt.</t>
  </si>
  <si>
    <t>Foresan WC liquid air freshener 125 ml. WC.</t>
  </si>
  <si>
    <t>8414716502024</t>
  </si>
  <si>
    <t>68414716502026</t>
  </si>
  <si>
    <t>Frozen shampoo &amp; gel 500 ml.</t>
  </si>
  <si>
    <t>8411114094434</t>
  </si>
  <si>
    <t>18411114094431</t>
  </si>
  <si>
    <t>Gabby's dollhouse shampoo &amp; gel 500 ml.</t>
  </si>
  <si>
    <t>8411114094793</t>
  </si>
  <si>
    <t>18411114094790</t>
  </si>
  <si>
    <t>Garnier Delial serum solar protect 125 ml. Protection 50 sensitive expert+.</t>
  </si>
  <si>
    <t>3600542512824</t>
  </si>
  <si>
    <t>240</t>
  </si>
  <si>
    <t>03600542547154</t>
  </si>
  <si>
    <t>nl.</t>
  </si>
  <si>
    <t>Garnier Delial solar milk 200 ml. ECO ocean conservancy protection 30.</t>
  </si>
  <si>
    <t>3600542393669</t>
  </si>
  <si>
    <t>03600542400190</t>
  </si>
  <si>
    <t>Garnier Delial sun solar milk 200 ml. ECO ocean conservancy protection 30.</t>
  </si>
  <si>
    <t>36005423936696</t>
  </si>
  <si>
    <t>Garnier Delial sun spray 200 ml. Invisible protection 30.</t>
  </si>
  <si>
    <t>3600542297738</t>
  </si>
  <si>
    <t>255</t>
  </si>
  <si>
    <t>03600542503648</t>
  </si>
  <si>
    <t>Garnier Delial sun spray 200 ml. Protection 30 invisible aloe vera + E vitamin.</t>
  </si>
  <si>
    <t>3600541894839</t>
  </si>
  <si>
    <t>260</t>
  </si>
  <si>
    <t>03600542521208</t>
  </si>
  <si>
    <t>en, dk, sv.</t>
  </si>
  <si>
    <t>Garnier fructis mask 2X15 ml. Oil repair 2 steps.</t>
  </si>
  <si>
    <t>3600542071031</t>
  </si>
  <si>
    <t>265</t>
  </si>
  <si>
    <t>03600542071550</t>
  </si>
  <si>
    <t>pt, el.</t>
  </si>
  <si>
    <t>Garnier Fructis shampoo 250 m. Curly hair.</t>
  </si>
  <si>
    <t>3600542543378</t>
  </si>
  <si>
    <t>130</t>
  </si>
  <si>
    <t>03600542546362</t>
  </si>
  <si>
    <t>Garnier Fructis shampoo 250 ml. Anti-dandruff normal hair.</t>
  </si>
  <si>
    <t>3600542543354</t>
  </si>
  <si>
    <t>03600542546331</t>
  </si>
  <si>
    <t>Garnier Fructis shampoo 250 ml. Hydra liss &amp; shine.</t>
  </si>
  <si>
    <t>3600542543408</t>
  </si>
  <si>
    <t>03600542546423</t>
  </si>
  <si>
    <t>125</t>
  </si>
  <si>
    <t>Gillette Blue III razor 4+1 Sensitive.</t>
  </si>
  <si>
    <t>7702018476626</t>
  </si>
  <si>
    <t>07702018476633</t>
  </si>
  <si>
    <t>en, fr, nl, be, at, fi, no, es, it, pt, el, lu, de, se, dk.</t>
  </si>
  <si>
    <t>Gillette Fusion 5 blades 12 u. Sport.</t>
  </si>
  <si>
    <t>8700216075008</t>
  </si>
  <si>
    <t>208</t>
  </si>
  <si>
    <t>08700216075015</t>
  </si>
  <si>
    <t>al, ba, me, bg, hr, dk, nl, en, fi, be, fr, lu, at, ch, de, el, il, hu, it, lv, lt, mk, md, no, pt, rs, sk, es, si, se, tr,</t>
  </si>
  <si>
    <t>Gillette Fusion 5 blades 4 u.</t>
  </si>
  <si>
    <t>7702018851294</t>
  </si>
  <si>
    <t>200</t>
  </si>
  <si>
    <t>11117702018854</t>
  </si>
  <si>
    <t>en, se, fi, dk, no.</t>
  </si>
  <si>
    <t>Gillette Fusion 5 Proglide razor 4 u.</t>
  </si>
  <si>
    <t>8001090457882</t>
  </si>
  <si>
    <t>08700216463027</t>
  </si>
  <si>
    <t>fr, nl, be, es, pt, it.</t>
  </si>
  <si>
    <t>Gillette Fusion 5 razor 1 u. + 5 refills.</t>
  </si>
  <si>
    <t>8001090761460</t>
  </si>
  <si>
    <t>08001090761491</t>
  </si>
  <si>
    <t>en, es, it, pt, se, dk, fi, no.</t>
  </si>
  <si>
    <t>Gillette Fusion 5 shave gel 200 ml. Moisturizer with cocoa butter.</t>
  </si>
  <si>
    <t>7702018465132</t>
  </si>
  <si>
    <t>434</t>
  </si>
  <si>
    <t>07702018465125</t>
  </si>
  <si>
    <t>en, no, dk, fi, se.</t>
  </si>
  <si>
    <t>Gillette Fusion proglide refill 6 u.</t>
  </si>
  <si>
    <t>7702018615650</t>
  </si>
  <si>
    <t>190</t>
  </si>
  <si>
    <t>07702018615667</t>
  </si>
  <si>
    <t>Gillette labs razor 1 u. + 2 refill. Travel set.</t>
  </si>
  <si>
    <t>8700216007900</t>
  </si>
  <si>
    <t>124</t>
  </si>
  <si>
    <t>08700216007917</t>
  </si>
  <si>
    <t>Gillette labs razor 1 u. + 5 refill. Travel set.</t>
  </si>
  <si>
    <t>8700216150811</t>
  </si>
  <si>
    <t>08700216150835</t>
  </si>
  <si>
    <t>en, de, at, ch, fr, nl, be, es, pt, lu, it, dk, he.</t>
  </si>
  <si>
    <t>Gillette Mach 3 blades 4 u.</t>
  </si>
  <si>
    <t>7702018264230</t>
  </si>
  <si>
    <t>11110800109042</t>
  </si>
  <si>
    <t>en, dk, fi, no, se.</t>
  </si>
  <si>
    <t>Gillette Mach 3 blades 8 u. XL.</t>
  </si>
  <si>
    <t>8001090428400</t>
  </si>
  <si>
    <t>210</t>
  </si>
  <si>
    <t>08001090428448</t>
  </si>
  <si>
    <t>fr, be, pt, it.</t>
  </si>
  <si>
    <t>Gillette Mach 3 Turbo razor 4 u.</t>
  </si>
  <si>
    <t>8001090429216</t>
  </si>
  <si>
    <t>110</t>
  </si>
  <si>
    <t>08006540762035</t>
  </si>
  <si>
    <t>fr.</t>
  </si>
  <si>
    <t>Gillette platinum blades. (new format).</t>
  </si>
  <si>
    <t>3014260596989</t>
  </si>
  <si>
    <t>400</t>
  </si>
  <si>
    <t>07702018473519</t>
  </si>
  <si>
    <t>fr, be, nl, it, sq, bg, cs, hu, ro, sk, lu, si, lu, he.</t>
  </si>
  <si>
    <t>Gillette platinum blades. Minibox (new format).</t>
  </si>
  <si>
    <t>1440</t>
  </si>
  <si>
    <t>3014260411879</t>
  </si>
  <si>
    <t>Gillette satin care gel 200 ml. Aloe vera.</t>
  </si>
  <si>
    <t>8006540769010</t>
  </si>
  <si>
    <t>392</t>
  </si>
  <si>
    <t>08006540769003</t>
  </si>
  <si>
    <t>Gillette Series shaving gel 200 ml. Moisturizing.</t>
  </si>
  <si>
    <t>7702018980833</t>
  </si>
  <si>
    <t>02/2028</t>
  </si>
  <si>
    <t>07702018979165</t>
  </si>
  <si>
    <t>en, da, no, se, fi.</t>
  </si>
  <si>
    <t>Gillette shave foam 200 ml. Normal skin.</t>
  </si>
  <si>
    <t>7702018980925</t>
  </si>
  <si>
    <t>06/2028</t>
  </si>
  <si>
    <t>496</t>
  </si>
  <si>
    <t>07702018980208</t>
  </si>
  <si>
    <t>en, se, fi, dk, el, it, no.</t>
  </si>
  <si>
    <t>Gillette shave foam 200 ml. Sensitive Skin.</t>
  </si>
  <si>
    <t>7702018980932</t>
  </si>
  <si>
    <t>07702018980222</t>
  </si>
  <si>
    <t>en, da, fi, it, el, sv, no.</t>
  </si>
  <si>
    <t>Gillette stick gel deodorant 70 ml. Aloe Vera.</t>
  </si>
  <si>
    <t>8001841587684</t>
  </si>
  <si>
    <t>05/2027</t>
  </si>
  <si>
    <t>756</t>
  </si>
  <si>
    <t>8001841587677</t>
  </si>
  <si>
    <t>pl, cz, hu, hr, ro, md, es, pt, en, ru, sk.</t>
  </si>
  <si>
    <t>Gillette stick gel deodorant 70 ml. Arctic ice.</t>
  </si>
  <si>
    <t>7702018978106</t>
  </si>
  <si>
    <t>7702018978113</t>
  </si>
  <si>
    <t>sk, ro, md, es, pt, ar, be, en, pl, cz, hu, hr</t>
  </si>
  <si>
    <t>Gillette stick gel deodorant 70 ml. Cool wave.</t>
  </si>
  <si>
    <t>7702018978120</t>
  </si>
  <si>
    <t>7702018978137</t>
  </si>
  <si>
    <t>pl, cz, hu, hr, sk, ro, md, es, pt, en, ru, be.</t>
  </si>
  <si>
    <t>Gillette Venus razor 1 u. 5 blades Pro Comfort Glide Tropical.</t>
  </si>
  <si>
    <t>8700216673808</t>
  </si>
  <si>
    <t>100</t>
  </si>
  <si>
    <t>08700216673785</t>
  </si>
  <si>
    <t>en, fi, no, se, dk, fr, nl, lu, be, de, at, ch, es, pt, it.</t>
  </si>
  <si>
    <t>Gillette Venus refill 1 u. + 6 refill. Comfortglide Spa breeze.</t>
  </si>
  <si>
    <t>8006540927137</t>
  </si>
  <si>
    <t>08006540927120</t>
  </si>
  <si>
    <t>de, at, ch, fr, nl, be, lu, en, hr, cz, dk, et, fi, hu, it, lv, lt, no, pl, pt, sk, si, es, se, ua.</t>
  </si>
  <si>
    <t>Groot body spray 200 ml.</t>
  </si>
  <si>
    <t>8411114092447</t>
  </si>
  <si>
    <t>371</t>
  </si>
  <si>
    <t>18411114092444</t>
  </si>
  <si>
    <t>en, es, fr, de, it, pt, nl, el, pl, ar.</t>
  </si>
  <si>
    <t>Groot eau de toilette 30 ml.</t>
  </si>
  <si>
    <t>8411114092607</t>
  </si>
  <si>
    <t>18411114092604</t>
  </si>
  <si>
    <t>H&amp;S shampoo 250 ml. Anti-dandruff apple fresh.</t>
  </si>
  <si>
    <t>5410076230181</t>
  </si>
  <si>
    <t>258</t>
  </si>
  <si>
    <t>5410076230198</t>
  </si>
  <si>
    <t>H&amp;S shampoo 250 ml. Anti-dandruff citrus fresh.</t>
  </si>
  <si>
    <t>8700216265393</t>
  </si>
  <si>
    <t>08700216265409</t>
  </si>
  <si>
    <t>5410076229468</t>
  </si>
  <si>
    <t>5410076229475</t>
  </si>
  <si>
    <t>H&amp;S shampoo 250 ml. Anti-dandruff classic clean.</t>
  </si>
  <si>
    <t>5410076229994</t>
  </si>
  <si>
    <t>5410076230006</t>
  </si>
  <si>
    <t>H&amp;S shampoo 250 ml. Anti-dandruff coconut oil deep hydration.</t>
  </si>
  <si>
    <t>8001841413532</t>
  </si>
  <si>
    <t>08001841413549</t>
  </si>
  <si>
    <t>H&amp;S shampoo 250 ml. Anti-dandruff smooth and silky.</t>
  </si>
  <si>
    <t>5410076498642</t>
  </si>
  <si>
    <t>05410076498666</t>
  </si>
  <si>
    <t>H&amp;S shampoo 250 ml. Anti-dandruff with caffeine fall prevention.</t>
  </si>
  <si>
    <t>8700216265331</t>
  </si>
  <si>
    <t>08700216265348</t>
  </si>
  <si>
    <t>H&amp;S shampoo 300 ml. Anti-dandruff hydrating.</t>
  </si>
  <si>
    <t>8006540445822</t>
  </si>
  <si>
    <t>08006540445839</t>
  </si>
  <si>
    <t>H&amp;S shampoo 300 ml. Anti-dandruff itchiness.</t>
  </si>
  <si>
    <t>8006540445761</t>
  </si>
  <si>
    <t>08006540445778</t>
  </si>
  <si>
    <t>H&amp;S shampoo 300 ml. Anti-dandruff revitalizing.</t>
  </si>
  <si>
    <t>8700216231916</t>
  </si>
  <si>
    <t>08700216231909</t>
  </si>
  <si>
    <t>H&amp;S shampoo 330 ml. Anti-dandruff  2 in 1 men.</t>
  </si>
  <si>
    <t>8700216158602</t>
  </si>
  <si>
    <t>213</t>
  </si>
  <si>
    <t>8700216158572</t>
  </si>
  <si>
    <t>H&amp;S shampoo 330 ml. Anti-dandruff apple fresh 2 in 1.</t>
  </si>
  <si>
    <t>8700216214193</t>
  </si>
  <si>
    <t>219</t>
  </si>
  <si>
    <t>8700216214186</t>
  </si>
  <si>
    <t>H&amp;S shampoo 330 ml. Anti-dandruff men with caffeine.</t>
  </si>
  <si>
    <t>8700216230667</t>
  </si>
  <si>
    <t>8700216230674</t>
  </si>
  <si>
    <t>H&amp;S shampoo 330 ml. Anti-dandruff smooth and silky 2 in 1.</t>
  </si>
  <si>
    <t>8700216213370</t>
  </si>
  <si>
    <t>340</t>
  </si>
  <si>
    <t>8700216213356</t>
  </si>
  <si>
    <t>H&amp;S shampoo 330 ml. Citrus 2 en 1.</t>
  </si>
  <si>
    <t>8700216214223</t>
  </si>
  <si>
    <t>8700216214209</t>
  </si>
  <si>
    <t>H&amp;S shampoo 400 ml. Anti-dandruff apple fresh.</t>
  </si>
  <si>
    <t>8006540810637</t>
  </si>
  <si>
    <t>171</t>
  </si>
  <si>
    <t>8006540810651</t>
  </si>
  <si>
    <t>H&amp;S shampoo 400 ml. Anti-dandruff Citrus fresh.</t>
  </si>
  <si>
    <t>8006540810675</t>
  </si>
  <si>
    <t>8006540810668</t>
  </si>
  <si>
    <t>H&amp;S shampoo 400 ml. Anti-dandruff classic clean 2 in 1.</t>
  </si>
  <si>
    <t>8700216266246</t>
  </si>
  <si>
    <t>138</t>
  </si>
  <si>
    <t>08700216266222</t>
  </si>
  <si>
    <t>H&amp;S shampoo 400 ml. Anti-dandruff Classic clean.</t>
  </si>
  <si>
    <t>8006540810538</t>
  </si>
  <si>
    <t>8006540810514</t>
  </si>
  <si>
    <t>H&amp;S shampoo 400 ml. Anti-dandruff Itchy scalp.</t>
  </si>
  <si>
    <t>8006540810842</t>
  </si>
  <si>
    <t>8006540810811</t>
  </si>
  <si>
    <t>H&amp;S shampoo 400 ml. Anti-dandruff menthol fresh.</t>
  </si>
  <si>
    <t>8006540810958</t>
  </si>
  <si>
    <t>8006540810941</t>
  </si>
  <si>
    <t>H&amp;S shampoo 400 ml. Anti-dandruff silky smooth.</t>
  </si>
  <si>
    <t>8006540811009</t>
  </si>
  <si>
    <t>8006540810996</t>
  </si>
  <si>
    <t>Hello Kitty shampoo &amp; gel 500 ml.</t>
  </si>
  <si>
    <t>8411114094489</t>
  </si>
  <si>
    <t>18411114094486</t>
  </si>
  <si>
    <t>Heno de Pravia bar soap 2X115 gr.</t>
  </si>
  <si>
    <t>8410225556237</t>
  </si>
  <si>
    <t>84102255562370</t>
  </si>
  <si>
    <t>Heno de Pravia eau de cologne 650 ml+130 ml. Original.</t>
  </si>
  <si>
    <t>8410225537786</t>
  </si>
  <si>
    <t>18410225537783</t>
  </si>
  <si>
    <t>Heno de Pravia shower gel 750 ml. Original.</t>
  </si>
  <si>
    <t>8410225509998</t>
  </si>
  <si>
    <t>28410225509992</t>
  </si>
  <si>
    <t>Heno de Pravia spray deodorant 250 ml. Original.</t>
  </si>
  <si>
    <t>8410225533689</t>
  </si>
  <si>
    <t>18410225533686</t>
  </si>
  <si>
    <t>18410225533687</t>
  </si>
  <si>
    <t>Huggies baby wipes 3X56 u. Natural care.</t>
  </si>
  <si>
    <t>5029053550176</t>
  </si>
  <si>
    <t>05029054659762</t>
  </si>
  <si>
    <t>gb, fr, nl, be, ch, at, it, es, pt, de, dk, fi, no, se, lt, lv, ro, hu, ee, sa, pl, cz, sk, hr, si, ua, bg, lb, rs, el, ma</t>
  </si>
  <si>
    <t>Huggies baby wipes 3X56 u. Pure.</t>
  </si>
  <si>
    <t>5029053550091</t>
  </si>
  <si>
    <t>01/2027</t>
  </si>
  <si>
    <t>05029054659632</t>
  </si>
  <si>
    <t>en, fr, nl, be, ch, at, it, es, pt, de, dk, lt, lv, ro, za, pl, hr, lb, cz, sk, si.</t>
  </si>
  <si>
    <t>Huggies baby wipes 56 u. Natural Care with Aloe Vera.</t>
  </si>
  <si>
    <t>5029053550152</t>
  </si>
  <si>
    <t>12/2027</t>
  </si>
  <si>
    <t>05029054659694</t>
  </si>
  <si>
    <t>en, fr, nl, be, cz, at, it, es, pt, de, dk, fi, se, no, lt, lv, ro, md, ee, hu, za, sa, pl, cz, sk, hr, si, lb, ua, bg, ke, eg, ma, rs.</t>
  </si>
  <si>
    <t>Huggies baby wipes 56 u. Pure. (box 10 u.)</t>
  </si>
  <si>
    <t>5029053550039</t>
  </si>
  <si>
    <t>05029054659571</t>
  </si>
  <si>
    <t>en, fr, nl, be, ch, at, it, es, pt, de, dk, fi, se, no, lt, lv, ro, ee, hu, za, pl, cz, sk, hr, si, lb, ua.</t>
  </si>
  <si>
    <t>Indasec pospart sanitary towels 24 u. Cotton.</t>
  </si>
  <si>
    <t>8410961302853</t>
  </si>
  <si>
    <t>18410520042906</t>
  </si>
  <si>
    <t>es, en, fr.</t>
  </si>
  <si>
    <t>Jiada protective facial mask FFP2 -1 u. Pink minibox 25 u.</t>
  </si>
  <si>
    <t>9390529226540</t>
  </si>
  <si>
    <t>93905292265406</t>
  </si>
  <si>
    <t>Johnson's shampoo 750 ml. Camomile with dispenser.</t>
  </si>
  <si>
    <t>3574669907910</t>
  </si>
  <si>
    <t>3574661455686</t>
  </si>
  <si>
    <t>Johnson's talc 200 gr. Baby.</t>
  </si>
  <si>
    <t>3574661727523</t>
  </si>
  <si>
    <t>264</t>
  </si>
  <si>
    <t>03574661727530</t>
  </si>
  <si>
    <t>Joker shower gel &amp; shampoo 400 ml.</t>
  </si>
  <si>
    <t>8411114093253</t>
  </si>
  <si>
    <t>133</t>
  </si>
  <si>
    <t>18411114093250</t>
  </si>
  <si>
    <t>en, es, el, da, sv, fi, no, pt, fr, it, de, nl, ar.</t>
  </si>
  <si>
    <t>L'Oréal Elvive mask 310 ml. Color.</t>
  </si>
  <si>
    <t>3600521708514</t>
  </si>
  <si>
    <t>03600524079307</t>
  </si>
  <si>
    <t>L'Oréal Elvive mask 310 ml. Dream long.</t>
  </si>
  <si>
    <t>3600523587315</t>
  </si>
  <si>
    <t>150</t>
  </si>
  <si>
    <t>03600523587568</t>
  </si>
  <si>
    <t>L'Oréal Elvive mask 310 ml. Hyaluronic Acid.</t>
  </si>
  <si>
    <t>3600524030797</t>
  </si>
  <si>
    <t>03600524079277</t>
  </si>
  <si>
    <t>L'Oréal Elvive mask 310 ml. Total repair.</t>
  </si>
  <si>
    <t>3600521752074</t>
  </si>
  <si>
    <t>03600524079369</t>
  </si>
  <si>
    <t>L'Oréal Elvive shampoo 400 ml. Color vive.</t>
  </si>
  <si>
    <t>3600523277520</t>
  </si>
  <si>
    <t>03600524217556</t>
  </si>
  <si>
    <t>es, pt, en.</t>
  </si>
  <si>
    <t>L'Oréal Elvive shampoo 400 ml. Dream long reconstructor.</t>
  </si>
  <si>
    <t>3600523586349</t>
  </si>
  <si>
    <t>03600524217747</t>
  </si>
  <si>
    <t>L'Oréal Elvive shampoo 400 ml. Full resist fragile hair.</t>
  </si>
  <si>
    <t>3600523923823</t>
  </si>
  <si>
    <t>03600524217778</t>
  </si>
  <si>
    <t>L'Oréal Elvive shampoo 400 ml. Hidra hyaluronic.</t>
  </si>
  <si>
    <t>3600524029968</t>
  </si>
  <si>
    <t>03600524218041</t>
  </si>
  <si>
    <t>L'Oréal Elvive shampoo 400 ml. Total repair damaged hair.</t>
  </si>
  <si>
    <t>3600523277605</t>
  </si>
  <si>
    <t>03600524217983</t>
  </si>
  <si>
    <t>L'Oréal men expert roll-on deodorant 50 ml. Carbon protect.</t>
  </si>
  <si>
    <t>3600523243167</t>
  </si>
  <si>
    <t>294</t>
  </si>
  <si>
    <t>03600523243389</t>
  </si>
  <si>
    <t>L'Oreal men expert roll-on deodorant 50 ml. Shirt protection.</t>
  </si>
  <si>
    <t>3600523299850</t>
  </si>
  <si>
    <t>03600523299911</t>
  </si>
  <si>
    <t>L'Oréal men expert roll-on deodorant 50 ml. Thermic resist.</t>
  </si>
  <si>
    <t>3600523243150</t>
  </si>
  <si>
    <t>03600523243358</t>
  </si>
  <si>
    <t>La Toja shaving soap. Classic.</t>
  </si>
  <si>
    <t>8410276200004</t>
  </si>
  <si>
    <t>18410276200001</t>
  </si>
  <si>
    <t>Laser II ready razor 10 u. 2 blades.</t>
  </si>
  <si>
    <t>5015911101154</t>
  </si>
  <si>
    <t>05015911101178</t>
  </si>
  <si>
    <t>en,  fr, de, es, pt, it, ar, ru, ch.</t>
  </si>
  <si>
    <t>Laser II ready razor 10 u. 2 blades. Lady.</t>
  </si>
  <si>
    <t>5015911101123</t>
  </si>
  <si>
    <t>08901106205899</t>
  </si>
  <si>
    <t>en, fr.</t>
  </si>
  <si>
    <t>Le Petit Marseillais shower gel 650 ml. BIO orange flower.</t>
  </si>
  <si>
    <t>3574661639109</t>
  </si>
  <si>
    <t>03574661703282</t>
  </si>
  <si>
    <t>Le Petit Marseillais shower gel 650 ml. BIO sweet almond milk.</t>
  </si>
  <si>
    <t>3574661653594</t>
  </si>
  <si>
    <t>03574661703305</t>
  </si>
  <si>
    <t>Listerine mouthwash 500 ml. Fresh lime.</t>
  </si>
  <si>
    <t>3574661808413</t>
  </si>
  <si>
    <t>03574661808437</t>
  </si>
  <si>
    <t>fr, es, pt, it, ro.</t>
  </si>
  <si>
    <t>Listerine mouthwash 500 ml. Fresh mint.</t>
  </si>
  <si>
    <t>8412101045002</t>
  </si>
  <si>
    <t>03574661807867</t>
  </si>
  <si>
    <t>Listerine mouthwash 500 ml. Mentol.</t>
  </si>
  <si>
    <t>8412101026001</t>
  </si>
  <si>
    <t>03574661807843</t>
  </si>
  <si>
    <t>Listerine mouthwash 500 ml. Mint zero alcohol.</t>
  </si>
  <si>
    <t>3574660721959</t>
  </si>
  <si>
    <t>03574661807942</t>
  </si>
  <si>
    <t>Listerine mouthwash 500 ml. Spearmint.</t>
  </si>
  <si>
    <t>3574661808420</t>
  </si>
  <si>
    <t>03574661808451</t>
  </si>
  <si>
    <t>Lov'yc bamboo toothbrush 1 u. Charcoal infused minibox 24 u.</t>
  </si>
  <si>
    <t>8437021720143</t>
  </si>
  <si>
    <t>420</t>
  </si>
  <si>
    <t>18437021720140</t>
  </si>
  <si>
    <t>es, en, fr, pt, pl, bg, nl, it, el, ro.</t>
  </si>
  <si>
    <t>Lov'yc bamboo toothbrush 1 u. Charcoal infused.</t>
  </si>
  <si>
    <t>1843702172014</t>
  </si>
  <si>
    <t>28437021720147</t>
  </si>
  <si>
    <t>Lov'yc bamboo toothbrush 1 u. Minibox 24 u.</t>
  </si>
  <si>
    <t>8437021720136</t>
  </si>
  <si>
    <t>18437021720133</t>
  </si>
  <si>
    <t>es, en, fr, pt, pl, nl, it, el, ro.</t>
  </si>
  <si>
    <t>Lov'yc bamboo toothbrush 1u.</t>
  </si>
  <si>
    <t>28437021720130</t>
  </si>
  <si>
    <t>Lov'yc bamboo toothbrush 1u. Kids soft minibox 24 u.</t>
  </si>
  <si>
    <t>8437021720907</t>
  </si>
  <si>
    <t>432</t>
  </si>
  <si>
    <t>38437021720700</t>
  </si>
  <si>
    <t>es, fr, pt, it, ar.</t>
  </si>
  <si>
    <t>Lov'yc bamboo toothbrush 1u. Kids soft.</t>
  </si>
  <si>
    <t>48437021720707</t>
  </si>
  <si>
    <t>Lov'yc bath gel 750 ml. Moisturizing almond milk.</t>
  </si>
  <si>
    <t>8437021720266</t>
  </si>
  <si>
    <t>65</t>
  </si>
  <si>
    <t>18437021720263</t>
  </si>
  <si>
    <t>es, en, fr, pt, ar, nl.</t>
  </si>
  <si>
    <t>14</t>
  </si>
  <si>
    <t>28437021720260</t>
  </si>
  <si>
    <t>es, en, fr, nl, pt, ar.</t>
  </si>
  <si>
    <t>Lov'yc bath gel 750 ml. Moisturizing aloe vera extract &amp; pear fragance.</t>
  </si>
  <si>
    <t>8437021720303</t>
  </si>
  <si>
    <t>18437021720300</t>
  </si>
  <si>
    <t>28437021720307</t>
  </si>
  <si>
    <t>Lov'yc bath gel 750 ml. Moisturizing honey extract and macadamia oil.</t>
  </si>
  <si>
    <t>8437021720273</t>
  </si>
  <si>
    <t>18437021720270</t>
  </si>
  <si>
    <t>28437021720277</t>
  </si>
  <si>
    <t>Lov'yc bath gel 750 ml. Nutritive oat milk and vanilla.</t>
  </si>
  <si>
    <t>8437021720280</t>
  </si>
  <si>
    <t>28437021720284</t>
  </si>
  <si>
    <t>18437021720287</t>
  </si>
  <si>
    <t>es, pt, fr, en, ar.</t>
  </si>
  <si>
    <t>Lov'yc bath gel 750 ml. Relaxing lavender oil.</t>
  </si>
  <si>
    <t>8437021720297</t>
  </si>
  <si>
    <t>18437021720294</t>
  </si>
  <si>
    <t>es, en, fr, pt, ar.</t>
  </si>
  <si>
    <t>28437021720291</t>
  </si>
  <si>
    <t>Lov'yc bed protector 20 u.</t>
  </si>
  <si>
    <t>8436609250560</t>
  </si>
  <si>
    <t>18436609250567</t>
  </si>
  <si>
    <t>es, fr, pt, en, nl, ar.</t>
  </si>
  <si>
    <t>Lov'yc biphasic conditioner 300 ml. Dry hair.</t>
  </si>
  <si>
    <t>8437021720754</t>
  </si>
  <si>
    <t>18437021720751</t>
  </si>
  <si>
    <t>es, fr, pt, en, ar.</t>
  </si>
  <si>
    <t>Lov'yc biphasic conditioner 300 ml. Normal hair.</t>
  </si>
  <si>
    <t>8437021720747</t>
  </si>
  <si>
    <t>18437021720744</t>
  </si>
  <si>
    <t>Lov'yc body milk 400 ml. Almond milk moisturizing dry skin.</t>
  </si>
  <si>
    <t>8437021720310</t>
  </si>
  <si>
    <t>18437021720317</t>
  </si>
  <si>
    <t>es, fr, pt, ar.</t>
  </si>
  <si>
    <t>Lov'yc body milk 400 ml. Argan oil and avocado very dry skin.</t>
  </si>
  <si>
    <t>8437021720433</t>
  </si>
  <si>
    <t>18437021720430</t>
  </si>
  <si>
    <t>Lov'yc brush 1 u. Blending eye shadow minibox.</t>
  </si>
  <si>
    <t>8437021720822</t>
  </si>
  <si>
    <t>600</t>
  </si>
  <si>
    <t>18437021720829</t>
  </si>
  <si>
    <t>es, en, fr, it, ar.</t>
  </si>
  <si>
    <t>Lov'yc brush 1 u. Blush minibox.</t>
  </si>
  <si>
    <t>8437021720808</t>
  </si>
  <si>
    <t>480</t>
  </si>
  <si>
    <t>18437021720805</t>
  </si>
  <si>
    <t>Lov'yc brush 1 u. Blush.</t>
  </si>
  <si>
    <t>28437021720802</t>
  </si>
  <si>
    <t>Lov'yc brush 1 u. Eye shadow brush minibox.</t>
  </si>
  <si>
    <t>8437021720877</t>
  </si>
  <si>
    <t>18437021720874</t>
  </si>
  <si>
    <t>Lov'yc brush 1 u. Eye shadow brush.</t>
  </si>
  <si>
    <t>28437021720871</t>
  </si>
  <si>
    <t>Lov'yc brush 1 u. Eyebrow minibox.</t>
  </si>
  <si>
    <t>8437021720839</t>
  </si>
  <si>
    <t>18437021720836</t>
  </si>
  <si>
    <t>Lov'yc brush 1 u. Eyebrow.</t>
  </si>
  <si>
    <t>28437021720833</t>
  </si>
  <si>
    <t>Lov'yc brush 1 u. Highlighter.</t>
  </si>
  <si>
    <t>8437021720815</t>
  </si>
  <si>
    <t>28437021720819</t>
  </si>
  <si>
    <t>Lov'yc brush 1 u. Smudge precisión minibox</t>
  </si>
  <si>
    <t>8437021720860</t>
  </si>
  <si>
    <t>18437021720867</t>
  </si>
  <si>
    <t>Lov'yc brush 1 u. Smudge precision.</t>
  </si>
  <si>
    <t>28437021720864</t>
  </si>
  <si>
    <t>Lov'yc brush 1u.  Highlighter minibox</t>
  </si>
  <si>
    <t>18437021720812</t>
  </si>
  <si>
    <t>Lov'yc brush 1u. Blending eye shadow.</t>
  </si>
  <si>
    <t>28437021720826</t>
  </si>
  <si>
    <t>Lov'yc brush 1u. Contouring minibox.</t>
  </si>
  <si>
    <t>8437021720785</t>
  </si>
  <si>
    <t>18437021720782</t>
  </si>
  <si>
    <t>Lov'yc brush 1u. Contouring.</t>
  </si>
  <si>
    <t>28437021720789</t>
  </si>
  <si>
    <t>Lov'yc brush 1u. Foundation brush minbox.</t>
  </si>
  <si>
    <t>8437021720792</t>
  </si>
  <si>
    <t>18437021720799</t>
  </si>
  <si>
    <t>Lov'yc brush 1u. Foundation brush.</t>
  </si>
  <si>
    <t>28437021720796</t>
  </si>
  <si>
    <t>Lov'yc brush 1u. Powder minibox.</t>
  </si>
  <si>
    <t>8437021720778</t>
  </si>
  <si>
    <t>18437021720775</t>
  </si>
  <si>
    <t>Lov'yc brush 1u. Powder.</t>
  </si>
  <si>
    <t>28437021720772</t>
  </si>
  <si>
    <t>Lov'yc comb wheat fiber 1 u. Colors assortment minibox.</t>
  </si>
  <si>
    <t>8436609250324</t>
  </si>
  <si>
    <t>18436609250321</t>
  </si>
  <si>
    <t>es, fr, en, it, pt, nl, ar.</t>
  </si>
  <si>
    <t>Lov'yc comb wheat fiber 1 u. Colors assortment.</t>
  </si>
  <si>
    <t>28436609250328</t>
  </si>
  <si>
    <t>Lov'yc cotton and bamboo buds 150 u.</t>
  </si>
  <si>
    <t>8436609251000</t>
  </si>
  <si>
    <t>28436609251004</t>
  </si>
  <si>
    <t>es, fr, pt, en, it, ro, de, nl, ce, sl, cz, sk, pl, ar.</t>
  </si>
  <si>
    <t>Lov'yc cotton and bamboo buds 150 u. Minibox.</t>
  </si>
  <si>
    <t>18436609251007</t>
  </si>
  <si>
    <t>Lov'yc cotton and bamboo buds 300 u.</t>
  </si>
  <si>
    <t>8436609251031</t>
  </si>
  <si>
    <t>28436609251035</t>
  </si>
  <si>
    <t>Lov'yc cotton and bamboo buds 300 u. Minibox.</t>
  </si>
  <si>
    <t>18436609251038</t>
  </si>
  <si>
    <t>Lov'yc Curly activator cream 200 ml. Vegan formula.</t>
  </si>
  <si>
    <t>8436609250027</t>
  </si>
  <si>
    <t>513</t>
  </si>
  <si>
    <t>18436609250024</t>
  </si>
  <si>
    <t>Lov'yc Curly defining gel 200 ml. Vegan formula.</t>
  </si>
  <si>
    <t>8436609250034</t>
  </si>
  <si>
    <t>399</t>
  </si>
  <si>
    <t>18436609250031</t>
  </si>
  <si>
    <t>Lov'yc Curly hair foam 200 ml. Vegan formula strong fixation.</t>
  </si>
  <si>
    <t>8436609250041</t>
  </si>
  <si>
    <t>18436609250048</t>
  </si>
  <si>
    <t>es, en, it.</t>
  </si>
  <si>
    <t>Lov'yc Curly mask 400 ml. Vegan formula.</t>
  </si>
  <si>
    <t>8436609250010</t>
  </si>
  <si>
    <t>256</t>
  </si>
  <si>
    <t>18436609250017</t>
  </si>
  <si>
    <t>Lov'yc Curly shampoo 500 ml. Vegan formula.</t>
  </si>
  <si>
    <t>8436609250003</t>
  </si>
  <si>
    <t>18436609250000</t>
  </si>
  <si>
    <t>Lov'yc electric toothbrush 1 u. + 4 brush heads rechargeable minibox.</t>
  </si>
  <si>
    <t>8437021720556</t>
  </si>
  <si>
    <t>18437021720553</t>
  </si>
  <si>
    <t>es, en, fr, pt, ro, el, it.</t>
  </si>
  <si>
    <t>Lov'yc electric toothbrush 1 u. + 4 brush heads rechargeable.</t>
  </si>
  <si>
    <t>32</t>
  </si>
  <si>
    <t>28437021720550</t>
  </si>
  <si>
    <t>Lov'yc electric toothbrush refill 4 u. 3D Clean minibox 12 u.</t>
  </si>
  <si>
    <t>8437021720242</t>
  </si>
  <si>
    <t>18437021720249</t>
  </si>
  <si>
    <t>es, en, fr, pt, it, ro, ar.</t>
  </si>
  <si>
    <t>Lov'yc electric toothbrush refill 4 u. 3D Clean.</t>
  </si>
  <si>
    <t>28437021720246</t>
  </si>
  <si>
    <t>Lov'yc electric toothbrush refill 4 u. Action Clean minibox.</t>
  </si>
  <si>
    <t>8437021720235</t>
  </si>
  <si>
    <t>18437021720232</t>
  </si>
  <si>
    <t>es, en ,fr, pt, it, ro, ar.</t>
  </si>
  <si>
    <t>Lov'yc electric toothbrush refill 4 u. Action Clean.</t>
  </si>
  <si>
    <t>6970558131447</t>
  </si>
  <si>
    <t>Lov'yc electric toothbrush refill 4 u. Action Floss minibox 12 u.</t>
  </si>
  <si>
    <t>0</t>
  </si>
  <si>
    <t>6970558131379</t>
  </si>
  <si>
    <t>es, en, fr, pt, it, ro, el.</t>
  </si>
  <si>
    <t>Lov'yc electric toothbrush refill 4 u. Action Floss minibox 20 u.</t>
  </si>
  <si>
    <t>6970558130969</t>
  </si>
  <si>
    <t>6970558131324</t>
  </si>
  <si>
    <t>es, en, fr, pt, ro, el.</t>
  </si>
  <si>
    <t>Lov'yc electric toothbrush refill 4 u. Action Floss minibox.</t>
  </si>
  <si>
    <t>8437021720211</t>
  </si>
  <si>
    <t>08437021720211</t>
  </si>
  <si>
    <t>Lov'yc electric toothbrush refill 4 u. Action Floss.</t>
  </si>
  <si>
    <t>6970558131157</t>
  </si>
  <si>
    <t>6970558131454</t>
  </si>
  <si>
    <t>84370217202118</t>
  </si>
  <si>
    <t>Lov'yc electric toothbrush refill 4 u. Flexo minibox 12 u.</t>
  </si>
  <si>
    <t>8437021720228</t>
  </si>
  <si>
    <t>18437021720225</t>
  </si>
  <si>
    <t>Lov'yc electric toothbrush refill 4 u. Flexo.</t>
  </si>
  <si>
    <t>28437021720222</t>
  </si>
  <si>
    <t>Lov'yc electric toothbrush refill 4 u. III Zone minibox 12 u.</t>
  </si>
  <si>
    <t>6970558130945</t>
  </si>
  <si>
    <t>6970558131386</t>
  </si>
  <si>
    <t>Lov'yc electric toothbrush refill 4 u. III Zone minibox 20 u.</t>
  </si>
  <si>
    <t>6970558131034</t>
  </si>
  <si>
    <t>06970558131317</t>
  </si>
  <si>
    <t>Lov'yc electric toothbrush refill 4 u. III Zone.</t>
  </si>
  <si>
    <t>6970558131461</t>
  </si>
  <si>
    <t>6970558131164</t>
  </si>
  <si>
    <t>Lov'yc electric toothbrush refill 4 u. Precision minibox 12 u.</t>
  </si>
  <si>
    <t>8437021720181</t>
  </si>
  <si>
    <t>18437021720188</t>
  </si>
  <si>
    <t>Lov'yc electric toothbrush refill 4 u. Precision.</t>
  </si>
  <si>
    <t>28437021720185</t>
  </si>
  <si>
    <t>Lov'yc electric toothbrush refill 4 u. Princess minibox 20 u.</t>
  </si>
  <si>
    <t>6970558130914</t>
  </si>
  <si>
    <t>06970558131294</t>
  </si>
  <si>
    <t>Lov'yc electric toothbrush refill 4 u. Princess.</t>
  </si>
  <si>
    <t>6970558131485</t>
  </si>
  <si>
    <t>6970558131096</t>
  </si>
  <si>
    <t>Lov'yc electric toothbrush refill 4 u. Superheroes minibox 12 u.</t>
  </si>
  <si>
    <t>6970558130976</t>
  </si>
  <si>
    <t>6970558131393</t>
  </si>
  <si>
    <t>Lov'yc electric toothbrush refill 4 u. Superheroes minibox 20 u.</t>
  </si>
  <si>
    <t>06970558131300</t>
  </si>
  <si>
    <t>Lov'yc electric toothbrush refill 4 u. Superheroes.</t>
  </si>
  <si>
    <t>6970558131102</t>
  </si>
  <si>
    <t>6970558131478</t>
  </si>
  <si>
    <t>Lov'yc exfoliating bath sponge 1 u. Infused Bamboo Charcoal.</t>
  </si>
  <si>
    <t>8436609250072</t>
  </si>
  <si>
    <t>18436609250079</t>
  </si>
  <si>
    <t>es, en, fr, pt, it, ro, el, ar.</t>
  </si>
  <si>
    <t>Lov'yc eyelash comb 1 u.</t>
  </si>
  <si>
    <t>8437021720846</t>
  </si>
  <si>
    <t>28437021720840</t>
  </si>
  <si>
    <t>Lov'yc facial tissues 100 u. Extra soft.</t>
  </si>
  <si>
    <t>8436609250683</t>
  </si>
  <si>
    <t>18436609250680</t>
  </si>
  <si>
    <t>es, fr, pt, nl, en, it, ro, ar, el.</t>
  </si>
  <si>
    <t>Lov'yc foam soap 300 ml. Cherry flower (flower).</t>
  </si>
  <si>
    <t>8436609250935</t>
  </si>
  <si>
    <t>126</t>
  </si>
  <si>
    <t>18436609250932</t>
  </si>
  <si>
    <t>es, fr, pt, en, nl, it, ro, sl, sk, cs, hr, de, pl, ar.</t>
  </si>
  <si>
    <t>Lov'yc foam soap 300 ml. Strawberry (paw-print).</t>
  </si>
  <si>
    <t>8436609250928</t>
  </si>
  <si>
    <t>18436609250925</t>
  </si>
  <si>
    <t>es, fr, pt, en, nl, it, ro, sl,  sk, cs, hr, de, pl, ar.</t>
  </si>
  <si>
    <t>Lov'yc Gold disciplining cream 100 ml. Pure keratin.</t>
  </si>
  <si>
    <t>8437021720938</t>
  </si>
  <si>
    <t>18437021720935</t>
  </si>
  <si>
    <t>Lov'yc Gold mask 400 ml. Pure keratin.</t>
  </si>
  <si>
    <t>8437021720921</t>
  </si>
  <si>
    <t>176</t>
  </si>
  <si>
    <t>18437021720928</t>
  </si>
  <si>
    <t>Lov'yc Gold oil serum 60 ml. Pure keratin.</t>
  </si>
  <si>
    <t>8437021720945</t>
  </si>
  <si>
    <t>455</t>
  </si>
  <si>
    <t>18437021720942</t>
  </si>
  <si>
    <t>es, fr, pt, en ,ar.</t>
  </si>
  <si>
    <t>Lov'yc Gold shampoo 500 ml. Pure keratin.</t>
  </si>
  <si>
    <t>8437021720969</t>
  </si>
  <si>
    <t>18437021720966</t>
  </si>
  <si>
    <t>Lov'yc hair brush 1 u. Natural wheat fiber circular detangler colors assortment minibox.</t>
  </si>
  <si>
    <t>8436609250256</t>
  </si>
  <si>
    <t>1200</t>
  </si>
  <si>
    <t>08436609250256</t>
  </si>
  <si>
    <t>es, en, it, pt, fr, ar.</t>
  </si>
  <si>
    <t>Lov'yc hair brush 1 u. Natural wheat fiber circular detangler colors assortment.</t>
  </si>
  <si>
    <t>84366092502566</t>
  </si>
  <si>
    <t>Lov'yc hair brush 1 u. Natural wheat fiber circular shape colors assortment.</t>
  </si>
  <si>
    <t>8436609250065</t>
  </si>
  <si>
    <t>28436609250069</t>
  </si>
  <si>
    <t>es, en, it, pt, ro, fr, ar.</t>
  </si>
  <si>
    <t>Lov'yc hair brush 1 u. Natural wheat fiber colors assortment.</t>
  </si>
  <si>
    <t>8436609250058</t>
  </si>
  <si>
    <t>28436609250052</t>
  </si>
  <si>
    <t>Lov'yc hair brush 1 u. Natural wheat fiber colors leaf shaped assortment minibox.</t>
  </si>
  <si>
    <t>640</t>
  </si>
  <si>
    <t>18436609250055</t>
  </si>
  <si>
    <t>Lov'yc hair elastics + clips 120 u. Flower colors assortment.</t>
  </si>
  <si>
    <t>8436609251062</t>
  </si>
  <si>
    <t>28436609251066</t>
  </si>
  <si>
    <t>Lov'yc hair massager 12 u. Colors assortment.</t>
  </si>
  <si>
    <t>8436609250966</t>
  </si>
  <si>
    <t>28436609250960</t>
  </si>
  <si>
    <t>es, fr, en, nl, pt.</t>
  </si>
  <si>
    <t>Lov'yc hair massager 12 u. Colors assortment. Minibox.</t>
  </si>
  <si>
    <t>18436609250963</t>
  </si>
  <si>
    <t>Lov'yc hair thermal protector 300 ml. Pantenol &amp; Keratina.</t>
  </si>
  <si>
    <t>8436609250089</t>
  </si>
  <si>
    <t>18436609250086</t>
  </si>
  <si>
    <t>Lov'yc hair ties 145 u. Bear.</t>
  </si>
  <si>
    <t>8436609251055</t>
  </si>
  <si>
    <t>28436609251059</t>
  </si>
  <si>
    <t>es, fr, en.</t>
  </si>
  <si>
    <t>Lov'yc hair ties 210 u. Lion.</t>
  </si>
  <si>
    <t>8436609251086</t>
  </si>
  <si>
    <t>28436609251080</t>
  </si>
  <si>
    <t>Lov'yc hair ties 60 u. Crown brush, assorted colors</t>
  </si>
  <si>
    <t>8436609251079</t>
  </si>
  <si>
    <t>28436609251073</t>
  </si>
  <si>
    <t>Lov'yc liquid keratin 300 ml. 5 properties.</t>
  </si>
  <si>
    <t>8437021720761</t>
  </si>
  <si>
    <t>18437021720768</t>
  </si>
  <si>
    <t>Lov'yc make-up brush cleaner 1 u. Rear suction cups minibox.</t>
  </si>
  <si>
    <t>8436609250102</t>
  </si>
  <si>
    <t>18436609250109</t>
  </si>
  <si>
    <t>Lov'yc make-up brush cleaner 1 u. Rear suction cups.</t>
  </si>
  <si>
    <t>28436609250106</t>
  </si>
  <si>
    <t>Lov'yc make-up brush cleaner 1 u. With band minibox.</t>
  </si>
  <si>
    <t>8436609250096</t>
  </si>
  <si>
    <t>18436609250093</t>
  </si>
  <si>
    <t>Lov'yc make-up brush cleaner 1u. With band.</t>
  </si>
  <si>
    <t>28436609250090</t>
  </si>
  <si>
    <t>Lov'yc make-up sponge 2 u.</t>
  </si>
  <si>
    <t>8436609250119</t>
  </si>
  <si>
    <t>28436609250113</t>
  </si>
  <si>
    <t>es, en, fr, it, pt, ar.</t>
  </si>
  <si>
    <t>Lov'yc make-up sponge 2 u. Minibox</t>
  </si>
  <si>
    <t>18436609250116</t>
  </si>
  <si>
    <t>Lov'yc makeup precision sponge 5 u.</t>
  </si>
  <si>
    <t>8437021720341</t>
  </si>
  <si>
    <t>28437021720345</t>
  </si>
  <si>
    <t>Lov'yc mask 700 ml. Nourishes and strengthen coconut oil.</t>
  </si>
  <si>
    <t>8437021720495</t>
  </si>
  <si>
    <t>156</t>
  </si>
  <si>
    <t>18437021720492</t>
  </si>
  <si>
    <t>Lov'yc mask 700 ml. Nutre y repara argan oil.</t>
  </si>
  <si>
    <t>8437021720488</t>
  </si>
  <si>
    <t>18437021720485</t>
  </si>
  <si>
    <t>Lov'yc mask 700 ml. Red onion and white nettle extract.</t>
  </si>
  <si>
    <t>8436609250317</t>
  </si>
  <si>
    <t>18436609250314</t>
  </si>
  <si>
    <t>es, fr, en, pt, ar.</t>
  </si>
  <si>
    <t>Lov'yc mask 700 ml. Smooth Keratin for frizzy hair with Tsubaki oil .</t>
  </si>
  <si>
    <t>8437021720471</t>
  </si>
  <si>
    <t>18437021720478</t>
  </si>
  <si>
    <t>Lov'yc micellar water 500 ml. Kombucha probiotic extract.</t>
  </si>
  <si>
    <t>8437021720914</t>
  </si>
  <si>
    <t>18437021720911</t>
  </si>
  <si>
    <t>es, en, fr, pt, it, ar.</t>
  </si>
  <si>
    <t>Lov'yc micellar wipes make-up removers 40 u. 3 in 1 micellar with Lotus flower extract.</t>
  </si>
  <si>
    <t>8436609250126</t>
  </si>
  <si>
    <t>77</t>
  </si>
  <si>
    <t>18436609250123</t>
  </si>
  <si>
    <t>es, en, fr, pt, it, el, ro, cs, ar.</t>
  </si>
  <si>
    <t>Lov'yc nano anti-fog lens cloth reusable 1 u.</t>
  </si>
  <si>
    <t>8437021720013</t>
  </si>
  <si>
    <t>500</t>
  </si>
  <si>
    <t>28437021720017</t>
  </si>
  <si>
    <t>es, en, it, pt.</t>
  </si>
  <si>
    <t>Lov'yc nano anti-fog lens cloth reusable 1 u. Minibox 25 u.</t>
  </si>
  <si>
    <t>18437021720010</t>
  </si>
  <si>
    <t>Lov'yc pharma bamboo interdental brush 7 u. 0,6 mm.</t>
  </si>
  <si>
    <t>8437021720365</t>
  </si>
  <si>
    <t>800</t>
  </si>
  <si>
    <t>22</t>
  </si>
  <si>
    <t>28437021720369</t>
  </si>
  <si>
    <t>Lov'yc pharma bamboo interdental brush 7 u. 0,6 mm. Minibox 20 u.</t>
  </si>
  <si>
    <t>880</t>
  </si>
  <si>
    <t>18437021720362</t>
  </si>
  <si>
    <t>Lov'yc pharma bamboo interdental brush 7 u. 1,0 mm.</t>
  </si>
  <si>
    <t>8437021720501</t>
  </si>
  <si>
    <t>28437021720505</t>
  </si>
  <si>
    <t>Lov'yc pharma bamboo interdental brush 7 u. 1,0 mm. Minibox 20 u.</t>
  </si>
  <si>
    <t>18437021720508</t>
  </si>
  <si>
    <t>Lov'yc pharma bamboo interdental brush 7 u. Ergonómic 0,6 mm.</t>
  </si>
  <si>
    <t>8437021720518</t>
  </si>
  <si>
    <t>28437021720512</t>
  </si>
  <si>
    <t>Lov'yc pharma bamboo interdental brush 7 u. Ergonomic 0,6 mm. Minibox 20 u.</t>
  </si>
  <si>
    <t>18437021720515</t>
  </si>
  <si>
    <t>Lov'yc pharma dental floss picks 45 u. Mint minibox..</t>
  </si>
  <si>
    <t>8437021720358</t>
  </si>
  <si>
    <t>180</t>
  </si>
  <si>
    <t>18437021720355</t>
  </si>
  <si>
    <t>Lov'yc pharma dental floss picks 45 u. Mint.</t>
  </si>
  <si>
    <t>28437021720352</t>
  </si>
  <si>
    <t>Lov'yc Pharma Intimate wipes 20 u. Mallow, honey and chamomile extract.</t>
  </si>
  <si>
    <t>8436609250614</t>
  </si>
  <si>
    <t>116</t>
  </si>
  <si>
    <t>18436609250611</t>
  </si>
  <si>
    <t>pt, ar, es, fr, it, en, el, nl, hr, ro.</t>
  </si>
  <si>
    <t>Lov'yc Pharma shower gel 2 l. Aloe vera dermoprotector.</t>
  </si>
  <si>
    <t>8437021720587</t>
  </si>
  <si>
    <t>18437021720584</t>
  </si>
  <si>
    <t>es, en, fr, pt, it, nl.</t>
  </si>
  <si>
    <t>Lov'yc Pharma shower gel 2 l. Atopic.</t>
  </si>
  <si>
    <t>8437021720594</t>
  </si>
  <si>
    <t>18437021720591</t>
  </si>
  <si>
    <t>Lov'yc Pharma shower gel 2 l. Ph5-Urea 5%.</t>
  </si>
  <si>
    <t>8437021720570</t>
  </si>
  <si>
    <t>18437021720577</t>
  </si>
  <si>
    <t>Lov'yc precision makeup sponge 5u. Minibox.</t>
  </si>
  <si>
    <t>720</t>
  </si>
  <si>
    <t>18437021720348</t>
  </si>
  <si>
    <t>Lov'yc razor 1 u. + 21 refill 3 blades man (4 minibox of 10 u.)</t>
  </si>
  <si>
    <t>8437021720150</t>
  </si>
  <si>
    <t>28437021720154</t>
  </si>
  <si>
    <t>en, nl, fr, da, se, dk, no, fi, es, it, ro, cz., pt.</t>
  </si>
  <si>
    <t>Lov'yc razor 1 u. + 21 refill 3 blades. Women (4 minibox of 10 u.)</t>
  </si>
  <si>
    <t>8437021720167</t>
  </si>
  <si>
    <t>28437021720161</t>
  </si>
  <si>
    <t>en, nl, fr, da, se, dk, no, fi, es, it, ro, cz.</t>
  </si>
  <si>
    <t>Lov'yc sanitary gel 500 ml. Aloe Vera.</t>
  </si>
  <si>
    <t>8012442002964</t>
  </si>
  <si>
    <t>80124420029642</t>
  </si>
  <si>
    <t>es, en, fr, pt.</t>
  </si>
  <si>
    <t>Lov'yc shampoo 750 ml. Nourishes and repairs dyed hair argan oil.</t>
  </si>
  <si>
    <t>8437021720457</t>
  </si>
  <si>
    <t>147</t>
  </si>
  <si>
    <t>18437021720454</t>
  </si>
  <si>
    <t>Lov'yc shampoo 750 ml. Nourishes and strength damaged hair coconut oil.</t>
  </si>
  <si>
    <t>8437021720464</t>
  </si>
  <si>
    <t>18437021720461</t>
  </si>
  <si>
    <t>Lov'yc shampoo 750 ml. Red onion and white nettle extract.</t>
  </si>
  <si>
    <t>8436609250300</t>
  </si>
  <si>
    <t>18436609250307</t>
  </si>
  <si>
    <t>Lov'yc shampoo 750 ml. Smooth Keratin .</t>
  </si>
  <si>
    <t>8437021720440</t>
  </si>
  <si>
    <t>18437021720447</t>
  </si>
  <si>
    <t>Lov'yc shampoo bar 50 gr. Antioxidant &amp; moisturizing blueberries &amp; avocado.</t>
  </si>
  <si>
    <t>8437021720853</t>
  </si>
  <si>
    <t>18437021720850</t>
  </si>
  <si>
    <t>es, fr, en, it, pt, ro, ar.</t>
  </si>
  <si>
    <t>Lov'yc shampoo bar 50 gr. Cannabis extract moisturizing and calming.</t>
  </si>
  <si>
    <t>8437021720549</t>
  </si>
  <si>
    <t>18437021720546</t>
  </si>
  <si>
    <t>Lov'yc shampoo bar 50 gr. Delicate hair oats &amp; aloe vera.</t>
  </si>
  <si>
    <t>8437021720525</t>
  </si>
  <si>
    <t>18437021720522</t>
  </si>
  <si>
    <t>Lov'yc shampoo bar 50 gr. Moisturizing and purifying papaya &amp; orange.</t>
  </si>
  <si>
    <t>8437021720532</t>
  </si>
  <si>
    <t>18437021720539</t>
  </si>
  <si>
    <t>Lov'yc shower gel 2 l. Creamy almond milk and honey.</t>
  </si>
  <si>
    <t>8437021720617</t>
  </si>
  <si>
    <t>28437021720611</t>
  </si>
  <si>
    <t>Lov'yc shower gel 2 L. Creamy green tea &amp; lotus flower.</t>
  </si>
  <si>
    <t>8436609250621</t>
  </si>
  <si>
    <t>18436609250628</t>
  </si>
  <si>
    <t>es, fr, en, pt, nl.</t>
  </si>
  <si>
    <t>Lov'yc shower gel 2 l. Creamy rice milk and avocado.</t>
  </si>
  <si>
    <t>8437021720600</t>
  </si>
  <si>
    <t>28437021720604</t>
  </si>
  <si>
    <t>Lov'yc solid mask 48 gr. Keratin &amp; vegetable oils. Frizzy &amp; dry hair.</t>
  </si>
  <si>
    <t>8437021720723</t>
  </si>
  <si>
    <t>18437021720720</t>
  </si>
  <si>
    <t>Lov'yc supermarket bag 44 u. ARUN - Lov'yc.</t>
  </si>
  <si>
    <t>8436609250782</t>
  </si>
  <si>
    <t>08436609250799</t>
  </si>
  <si>
    <t>Lov'yc WC wipes 80 u. Camomile biodegradable pop-up.</t>
  </si>
  <si>
    <t>8436609250522</t>
  </si>
  <si>
    <t>10/2028</t>
  </si>
  <si>
    <t>88</t>
  </si>
  <si>
    <t>18436609250529</t>
  </si>
  <si>
    <t>es, en, hu, ro, de, fr, it, sk, cz, rs, el, pt.</t>
  </si>
  <si>
    <t>Lov'yc wipes 120 u. Baby aloe vera.</t>
  </si>
  <si>
    <t>8437021720082</t>
  </si>
  <si>
    <t>18437021720089</t>
  </si>
  <si>
    <t>sk, cs, sr, ro, hu, de, pt, el, it, en, fr, es.</t>
  </si>
  <si>
    <t>Lov'yc wipes 120 u. Baby sensitive cream.</t>
  </si>
  <si>
    <t>8437021720099</t>
  </si>
  <si>
    <t>18437021720096</t>
  </si>
  <si>
    <t>sk, cs, sr, ro, hu, de, pt, it, fr, en, es, el.</t>
  </si>
  <si>
    <t>Lov'yc wipes 20 u. Baby aloe vera.</t>
  </si>
  <si>
    <t>8437021720075</t>
  </si>
  <si>
    <t>11/2028</t>
  </si>
  <si>
    <t>18437021720072</t>
  </si>
  <si>
    <t>es, en, fr, it, el, pt, de, hu, se, cs, sk, nl.</t>
  </si>
  <si>
    <t>Lov'yc wipes 72 u. Baby aloe vera.</t>
  </si>
  <si>
    <t>8437021720051</t>
  </si>
  <si>
    <t>09/2028</t>
  </si>
  <si>
    <t>18437021720058</t>
  </si>
  <si>
    <t>es, en, fr, it, el, pt, de, hu, ro, sb, cs, sk.</t>
  </si>
  <si>
    <t>Lov'yc wipes 72 u. Baby sensitive cream.</t>
  </si>
  <si>
    <t>8437021720068</t>
  </si>
  <si>
    <t>18437021720065</t>
  </si>
  <si>
    <t>Lux bath gel 500 ml. Charming peony.</t>
  </si>
  <si>
    <t>8886467075780</t>
  </si>
  <si>
    <t>18886467075787</t>
  </si>
  <si>
    <t>it, en, fr, es.</t>
  </si>
  <si>
    <t>Lux bath gel 500 ml. Magical orchid.</t>
  </si>
  <si>
    <t>8886467075797</t>
  </si>
  <si>
    <t>18886467075794</t>
  </si>
  <si>
    <t>it, en, es, fr.</t>
  </si>
  <si>
    <t>Lux bath gel 500 ml. Silk effect Rose.</t>
  </si>
  <si>
    <t>8886467075810</t>
  </si>
  <si>
    <t>18886467075817</t>
  </si>
  <si>
    <t>Lux bath gel 500 ml. Silk sensation Jasmine.</t>
  </si>
  <si>
    <t>8886467075803</t>
  </si>
  <si>
    <t>18886467075800</t>
  </si>
  <si>
    <t>Lux bath gel 600 ml. Charming peony.</t>
  </si>
  <si>
    <t>8886467000881</t>
  </si>
  <si>
    <t>18886467000888</t>
  </si>
  <si>
    <t>en, ne, no, fr, it.</t>
  </si>
  <si>
    <t>Lux bath gel 600 ml. Magical orchid.</t>
  </si>
  <si>
    <t>8886467000898</t>
  </si>
  <si>
    <t>18886467000895</t>
  </si>
  <si>
    <t>Lux bath gel 600 ml. Secret poppy.</t>
  </si>
  <si>
    <t>8886467000904</t>
  </si>
  <si>
    <t>18886467000901</t>
  </si>
  <si>
    <t>Lux bath gel 750 ml. Cactus Moonlight and Hyaluronic Acid with Dispenser.</t>
  </si>
  <si>
    <t>8720181343377</t>
  </si>
  <si>
    <t>08720181343384</t>
  </si>
  <si>
    <t>Magno bar soap 2X100 gr. Classic original.</t>
  </si>
  <si>
    <t>8410436384322</t>
  </si>
  <si>
    <t>08410436384346</t>
  </si>
  <si>
    <t>Magno shower gel 600 ml. Black Energy.</t>
  </si>
  <si>
    <t>8410436463591</t>
  </si>
  <si>
    <t>08410436463638</t>
  </si>
  <si>
    <t>Magno shower gel 600 ml. Classic.</t>
  </si>
  <si>
    <t>8410436463676</t>
  </si>
  <si>
    <t>08410436463713</t>
  </si>
  <si>
    <t>3614229448030</t>
  </si>
  <si>
    <t>Max Factor eyebrow pencil 3 u. Brown.</t>
  </si>
  <si>
    <t>03614229854114</t>
  </si>
  <si>
    <t>Mickey &amp; Minnie shampoo &amp; gel 500 ml.</t>
  </si>
  <si>
    <t>8411114094465</t>
  </si>
  <si>
    <t>18411114094462</t>
  </si>
  <si>
    <t>Minecraft shampoo &amp; gel 500 ml.</t>
  </si>
  <si>
    <t>8411114094670</t>
  </si>
  <si>
    <t>18411114094677</t>
  </si>
  <si>
    <t>Mix profesional hands and surfaces sanitizer spray  400 ml. Lemon 70% alcohol.</t>
  </si>
  <si>
    <t>8426827427646</t>
  </si>
  <si>
    <t>18426827427643</t>
  </si>
  <si>
    <t>es, en, it, pt, fr, de.</t>
  </si>
  <si>
    <t>Mr. Proper spray 750 ml. Bath anti-limescale professional.</t>
  </si>
  <si>
    <t>8006540555293</t>
  </si>
  <si>
    <t>08006540555286</t>
  </si>
  <si>
    <t>Nenuco eau de cologne 650 ml. Original.</t>
  </si>
  <si>
    <t>8428076006795</t>
  </si>
  <si>
    <t>18428076006792</t>
  </si>
  <si>
    <t>Nenuco liquid soap 200 ml. Ultra soft with dispenser.</t>
  </si>
  <si>
    <t>8428076006719</t>
  </si>
  <si>
    <t>198</t>
  </si>
  <si>
    <t>18428076008659</t>
  </si>
  <si>
    <t>Nenuco liquid soap 650 ml. Original with dispenser.</t>
  </si>
  <si>
    <t>8428076006641</t>
  </si>
  <si>
    <t>18428076006648</t>
  </si>
  <si>
    <t>Nenuco moisturizing milk 500 ml. Original.</t>
  </si>
  <si>
    <t>8428076006665</t>
  </si>
  <si>
    <t>03/2027</t>
  </si>
  <si>
    <t>18428076006662</t>
  </si>
  <si>
    <t>Neutrogena body lotion 400 ml. Dry and sensitive skin.</t>
  </si>
  <si>
    <t>3574661098531</t>
  </si>
  <si>
    <t>92</t>
  </si>
  <si>
    <t>03574661586779</t>
  </si>
  <si>
    <t>en, sv, da, no.</t>
  </si>
  <si>
    <t>Neutrogena body lotion 400 ml. Visibly renew dry skin with collagen.</t>
  </si>
  <si>
    <t>3574661200019</t>
  </si>
  <si>
    <t>03574661595719</t>
  </si>
  <si>
    <t>en, se, da, pt.</t>
  </si>
  <si>
    <t>Neutrogena Bright boost facial cream 50 ml. Night all skin types.</t>
  </si>
  <si>
    <t>3574661640525</t>
  </si>
  <si>
    <t>672</t>
  </si>
  <si>
    <t>03574661644486</t>
  </si>
  <si>
    <t>es, it.</t>
  </si>
  <si>
    <t>Neutrogena bright boost gel facial cream 50 ml. All skin types.</t>
  </si>
  <si>
    <t>3574661591568</t>
  </si>
  <si>
    <t>504</t>
  </si>
  <si>
    <t>03574661594774</t>
  </si>
  <si>
    <t>es, it, pt, el.</t>
  </si>
  <si>
    <t>Neutrogena bright boost serum 30 ml. Iluminador all skin types.</t>
  </si>
  <si>
    <t>3574661593067</t>
  </si>
  <si>
    <t>324</t>
  </si>
  <si>
    <t>03574661594408</t>
  </si>
  <si>
    <t>Neutrogena face mask 50 ml. Clear &amp; Soothe.</t>
  </si>
  <si>
    <t>3574661530604</t>
  </si>
  <si>
    <t>405</t>
  </si>
  <si>
    <t>03574661636511</t>
  </si>
  <si>
    <t>en, se, no, dk, fi.</t>
  </si>
  <si>
    <t>Neutrogena hands cream 50 ml. Moisture sensitive skin.</t>
  </si>
  <si>
    <t>8002110383709</t>
  </si>
  <si>
    <t>03574660121759</t>
  </si>
  <si>
    <t>Neutrogena hands cream 50 ml. Original fast absorption.</t>
  </si>
  <si>
    <t>4012273123009</t>
  </si>
  <si>
    <t>03574661315942</t>
  </si>
  <si>
    <t>Neutrogena Hydro boost face cream  50 ml. Hyaluronic acid dry skin.</t>
  </si>
  <si>
    <t>3574661309736</t>
  </si>
  <si>
    <t>468</t>
  </si>
  <si>
    <t>03574661310978</t>
  </si>
  <si>
    <t>Neutrogena Hydro boost face cream 50 ml. Hyaluronic acid dry skin.</t>
  </si>
  <si>
    <t>3574661309743</t>
  </si>
  <si>
    <t>03574661311906</t>
  </si>
  <si>
    <t>fr, es, it.</t>
  </si>
  <si>
    <t>Neutrogena Hydro boost face cream 50 ml. Moisturizing mixed and normal skin.</t>
  </si>
  <si>
    <t>3574661287201</t>
  </si>
  <si>
    <t>03574661288055</t>
  </si>
  <si>
    <t>Neutrogena Hydro boost gel cream 15 ml. Unscented eye contour.</t>
  </si>
  <si>
    <t>3574661352527</t>
  </si>
  <si>
    <t>03574661360911</t>
  </si>
  <si>
    <t>Neutrogena micellar water 400 ml. 3 in 1 skin detox triple accion.</t>
  </si>
  <si>
    <t>3574661450537</t>
  </si>
  <si>
    <t>152</t>
  </si>
  <si>
    <t>03574661452159</t>
  </si>
  <si>
    <t>Neutrogena Retinol boost 30 ml. Anti-age serum.</t>
  </si>
  <si>
    <t>3574661699530</t>
  </si>
  <si>
    <t>693</t>
  </si>
  <si>
    <t>03574661701820</t>
  </si>
  <si>
    <t>es, fr, it, pt.</t>
  </si>
  <si>
    <t>Nivea bar soap 100 gr. Cream care.</t>
  </si>
  <si>
    <t>4005900217936</t>
  </si>
  <si>
    <t>93824080200070</t>
  </si>
  <si>
    <t>en, da, nl, fr, pt, pl, hr, sl, sr, cz, sk, hu, ro, bg.</t>
  </si>
  <si>
    <t>Nivea bar soap 100 gr. Cream Soft.</t>
  </si>
  <si>
    <t>4005808135318</t>
  </si>
  <si>
    <t>93806080201070</t>
  </si>
  <si>
    <t>Nivea body milk 400 ml. Aloe Vera normal-dry skin.</t>
  </si>
  <si>
    <t>4006000086156</t>
  </si>
  <si>
    <t>04005805468631</t>
  </si>
  <si>
    <t>Nivea body milk 400 ml. Smooth shea butter dry skin.</t>
  </si>
  <si>
    <t>4006000085982</t>
  </si>
  <si>
    <t>04005805468433</t>
  </si>
  <si>
    <t>Nivea cream 150 ml. Family.</t>
  </si>
  <si>
    <t>4005808801046</t>
  </si>
  <si>
    <t>88412300862796</t>
  </si>
  <si>
    <t>es, it, pt</t>
  </si>
  <si>
    <t>Nivea Cream 250 ml. Family.</t>
  </si>
  <si>
    <t>4005808801053</t>
  </si>
  <si>
    <t>88412300862802</t>
  </si>
  <si>
    <t>Nivea Cream 400 ml. Family (box 24 u.)</t>
  </si>
  <si>
    <t>8412300801072</t>
  </si>
  <si>
    <t>88412300028307</t>
  </si>
  <si>
    <t>Nivea Cream 75 ml. Family.</t>
  </si>
  <si>
    <t>4005808801039</t>
  </si>
  <si>
    <t>209</t>
  </si>
  <si>
    <t>Nivea cream soft 375 ml.</t>
  </si>
  <si>
    <t>4005900747327</t>
  </si>
  <si>
    <t>04005805301877</t>
  </si>
  <si>
    <t>14005900747324</t>
  </si>
  <si>
    <t>Nivea deodorant roll-on 50 ml. Black &amp; white invisible active. (box 6 u.)</t>
  </si>
  <si>
    <t>4005900386564</t>
  </si>
  <si>
    <t>657</t>
  </si>
  <si>
    <t>4005900464170</t>
  </si>
  <si>
    <t>it, es, pt, el, en, he.</t>
  </si>
  <si>
    <t>Nivea deodorant roll-on 50 ml. Men Fresh Ocean.</t>
  </si>
  <si>
    <t>4005900639219</t>
  </si>
  <si>
    <t>4005900636287</t>
  </si>
  <si>
    <t>648</t>
  </si>
  <si>
    <t>40059006392198</t>
  </si>
  <si>
    <t>it, es, pt, nl.</t>
  </si>
  <si>
    <t>Nivea deodorant roll-on 50 ml. Pearl &amp; beauty.</t>
  </si>
  <si>
    <t>42299929</t>
  </si>
  <si>
    <t>900</t>
  </si>
  <si>
    <t>04005805231129</t>
  </si>
  <si>
    <t>Nivea deodorant roll-on 50 ml. Sensitive protect.</t>
  </si>
  <si>
    <t>42231332</t>
  </si>
  <si>
    <t>05025970124131</t>
  </si>
  <si>
    <t>Nivea deodorant roll-on 50 ml. Take care &amp; protect.</t>
  </si>
  <si>
    <t>4005900242976</t>
  </si>
  <si>
    <t>88412300034971</t>
  </si>
  <si>
    <t>Nivea deodorant spray 200 ml. Black &amp; white invisible active.</t>
  </si>
  <si>
    <t>4005900386588</t>
  </si>
  <si>
    <t>40059003865886</t>
  </si>
  <si>
    <t>it, es, pt, el.</t>
  </si>
  <si>
    <t>Nivea deodorant spray 200 ml. Black &amp; white invisible fresh.</t>
  </si>
  <si>
    <t>4005808918065</t>
  </si>
  <si>
    <t>40058089180654</t>
  </si>
  <si>
    <t>Nivea deodorant spray 200 ml. Black &amp; white invisible original.</t>
  </si>
  <si>
    <t>4005808729777</t>
  </si>
  <si>
    <t>40058087297774</t>
  </si>
  <si>
    <t>Nivea deodorant spray 200 ml. Care and protect.</t>
  </si>
  <si>
    <t>4005900242952</t>
  </si>
  <si>
    <t>88412300034865</t>
  </si>
  <si>
    <t>Nivea deodorant spray 200 ml. Double effect quick dry.</t>
  </si>
  <si>
    <t>4005808736133</t>
  </si>
  <si>
    <t>04005805228778</t>
  </si>
  <si>
    <t>Nivea deodorant spray 200 ml. Dry comfort.</t>
  </si>
  <si>
    <t>4005808719020</t>
  </si>
  <si>
    <t>04005805228761</t>
  </si>
  <si>
    <t>Nivea deodorant spray 200 ml. Men black &amp; white active invisible antibacterial.</t>
  </si>
  <si>
    <t>4005900386540</t>
  </si>
  <si>
    <t>40059003865404</t>
  </si>
  <si>
    <t>en, it, es, pt, el.</t>
  </si>
  <si>
    <t>Nivea deodorant spray 200 ml. Men black &amp; white invisible quick dry.</t>
  </si>
  <si>
    <t>4005808729982</t>
  </si>
  <si>
    <t>40058087299822</t>
  </si>
  <si>
    <t>Nivea deodorant spray 200 ml. Men care &amp; protect.</t>
  </si>
  <si>
    <t>4005900242990</t>
  </si>
  <si>
    <t>88412300024286</t>
  </si>
  <si>
    <t>Nivea deodorant spray 200 ml. Men Cool kick.</t>
  </si>
  <si>
    <t>4005808733743</t>
  </si>
  <si>
    <t>4005808733767</t>
  </si>
  <si>
    <t>Nivea deodorant spray 200 ml. Men dry fresh</t>
  </si>
  <si>
    <t>4005900485267</t>
  </si>
  <si>
    <t>88412300040033</t>
  </si>
  <si>
    <t>Nivea deodorant spray 200 ml. Men Dry Impact.</t>
  </si>
  <si>
    <t>4005808727186</t>
  </si>
  <si>
    <t>4005808727209</t>
  </si>
  <si>
    <t>Nivea deodorant spray 200 ml. Women dry fresh.</t>
  </si>
  <si>
    <t>4005900485281</t>
  </si>
  <si>
    <t>04005805229133</t>
  </si>
  <si>
    <t>Nivea deodorant spray 250 ml. Black &amp; white invisible fresh.</t>
  </si>
  <si>
    <t>4005900653567</t>
  </si>
  <si>
    <t>04005805269313</t>
  </si>
  <si>
    <t>he, it, es, pt, el, en.</t>
  </si>
  <si>
    <t>Nivea deodorant spray 250 ml. Care &amp; protect.</t>
  </si>
  <si>
    <t>5900017048642</t>
  </si>
  <si>
    <t>5900017055442</t>
  </si>
  <si>
    <t>pl, lt, lv, ee, bg, es, ro.</t>
  </si>
  <si>
    <t>4005900653604</t>
  </si>
  <si>
    <t>04005805269399</t>
  </si>
  <si>
    <t>Nivea deodorant spray 250 ml. Dry comfort.</t>
  </si>
  <si>
    <t>4006000048925</t>
  </si>
  <si>
    <t>40060000489258</t>
  </si>
  <si>
    <t>it, es, pt, el, en.</t>
  </si>
  <si>
    <t>Nivea deodorant spray 250 ml. Dry fresh.</t>
  </si>
  <si>
    <t>4005900653628</t>
  </si>
  <si>
    <t>04005805269436</t>
  </si>
  <si>
    <t>Nivea deodorant spray 250 ml. Men cool kick.</t>
  </si>
  <si>
    <t>4005900653666</t>
  </si>
  <si>
    <t>04005805269511</t>
  </si>
  <si>
    <t>Nivea Men after shave 100 ml. Protect and care moisturizing balm.</t>
  </si>
  <si>
    <t>8412300813006</t>
  </si>
  <si>
    <t>184</t>
  </si>
  <si>
    <t>17319470013107</t>
  </si>
  <si>
    <t>Nivea Men aftershave 100 ml. Sensitive.</t>
  </si>
  <si>
    <t>4005808221950</t>
  </si>
  <si>
    <t>04005805000220</t>
  </si>
  <si>
    <t>Nivea neceser. Gym women cleansing gel + roll-on + gel + Q10 body lotion.</t>
  </si>
  <si>
    <t>8412300050753</t>
  </si>
  <si>
    <t>88412300050759</t>
  </si>
  <si>
    <t>Nivea pack Cellular. Anti-aging day cream 50 ml. + anti-aging night cream 50 ml.</t>
  </si>
  <si>
    <t>8412300052405</t>
  </si>
  <si>
    <t>88412300052401</t>
  </si>
  <si>
    <t>Nivea pack. Anti-spot routine night cream + day cream.</t>
  </si>
  <si>
    <t>8412300050678</t>
  </si>
  <si>
    <t>88412300050674</t>
  </si>
  <si>
    <t>Nivea pack. Cellullar Bakuchiol lift serum 30 ml. + Anti-aging day cream 50 ml.</t>
  </si>
  <si>
    <t>8412300052429</t>
  </si>
  <si>
    <t>88412300052425</t>
  </si>
  <si>
    <t>Nivea pack. Luminous anti-spot routine. Hand cream 50 ml + day cream 40 ml + serum 30 ml.</t>
  </si>
  <si>
    <t>8412300052474</t>
  </si>
  <si>
    <t>88412300052470</t>
  </si>
  <si>
    <t>Nivea pack. Men anti-spot routine 2in1 serum 30 ml + Anti-age moisturizing cream 50 ml.</t>
  </si>
  <si>
    <t>8412300052597</t>
  </si>
  <si>
    <t>88412300052593</t>
  </si>
  <si>
    <t>Nivea pack. Q10 Anti-aging routine anti-wrinkle cream 50 ml. + serum 30 ml.</t>
  </si>
  <si>
    <t>8412300052382</t>
  </si>
  <si>
    <t>01/2029</t>
  </si>
  <si>
    <t>88412300052388</t>
  </si>
  <si>
    <t>Nivea shave foam 200 ml. Care and protect.</t>
  </si>
  <si>
    <t>4005808222490</t>
  </si>
  <si>
    <t>14005808222497</t>
  </si>
  <si>
    <t>Nivea shave foam 200 ml. Sensitive.</t>
  </si>
  <si>
    <t>4005808222728</t>
  </si>
  <si>
    <t>17319470006338</t>
  </si>
  <si>
    <t>Nivea shave gel 200 ml. Sensitive.</t>
  </si>
  <si>
    <t>4005808222940</t>
  </si>
  <si>
    <t>115</t>
  </si>
  <si>
    <t>Nivea shower gel  250 ml. Creme soft.</t>
  </si>
  <si>
    <t>4005808123865</t>
  </si>
  <si>
    <t>4005808123889</t>
  </si>
  <si>
    <t>it, es, pt, el, he.</t>
  </si>
  <si>
    <t>Nivea shower gel  650 ml. Creme care.</t>
  </si>
  <si>
    <t>4006000095837</t>
  </si>
  <si>
    <t>04005805472867</t>
  </si>
  <si>
    <t>it, de, pt, el, he.</t>
  </si>
  <si>
    <t>Nivea shower gel 250 ml. Creme Aloe vera.</t>
  </si>
  <si>
    <t>4005900732934</t>
  </si>
  <si>
    <t>4005900732958</t>
  </si>
  <si>
    <t>en, fr, nl, se, dk, no, fi.</t>
  </si>
  <si>
    <t>Nivea shower gel 250 ml. Creme care.</t>
  </si>
  <si>
    <t>4005808912858</t>
  </si>
  <si>
    <t>17319470067315</t>
  </si>
  <si>
    <t>Nivea shower gel 250 ml. Creme protect.</t>
  </si>
  <si>
    <t>4005900934819</t>
  </si>
  <si>
    <t>04005805380513</t>
  </si>
  <si>
    <t>Nivea shower gel 650 ml. Creme aloe vera,</t>
  </si>
  <si>
    <t>4006000095851</t>
  </si>
  <si>
    <t>04005805472898</t>
  </si>
  <si>
    <t>it, pt, el, he.</t>
  </si>
  <si>
    <t>Nivea shower gel 650 ml. Creme soft.</t>
  </si>
  <si>
    <t>4006000095813</t>
  </si>
  <si>
    <t>04005805472829</t>
  </si>
  <si>
    <t>Nivea shower gel 650 ml. Orange &amp; care.</t>
  </si>
  <si>
    <t>4005900987280</t>
  </si>
  <si>
    <t>04005805415116</t>
  </si>
  <si>
    <t>en, it, pt, el, he.</t>
  </si>
  <si>
    <t>Nivea Sun after sun 300 ml. Hydrating with aloe vera.</t>
  </si>
  <si>
    <t>4005900724847</t>
  </si>
  <si>
    <t>04005805293004</t>
  </si>
  <si>
    <t>Nivea Sun solar milk 200 ml.  Protection 20 protects &amp; bronze.</t>
  </si>
  <si>
    <t>4005900993830</t>
  </si>
  <si>
    <t>04005805417448</t>
  </si>
  <si>
    <t>Nivea Sun solar milk spray 200 ml. Sensitive skin F50.</t>
  </si>
  <si>
    <t>4005900597489</t>
  </si>
  <si>
    <t>132</t>
  </si>
  <si>
    <t>04005805253701</t>
  </si>
  <si>
    <t>Nivea Sun solar milk spray 270 ml. Kids Protection 50 sensitive skin.</t>
  </si>
  <si>
    <t>4005900911957</t>
  </si>
  <si>
    <t>4005900911971</t>
  </si>
  <si>
    <t>Nivea toiletry bag. Daily hydration. Body milk + moisturizer + hand cream + roll-on + liposan.</t>
  </si>
  <si>
    <t>8412300052627</t>
  </si>
  <si>
    <t>88412300052623</t>
  </si>
  <si>
    <t>Nivea toiletry bag. Micellar water + roll-on + liposan + sun cream 50+.</t>
  </si>
  <si>
    <t>8412300051415</t>
  </si>
  <si>
    <t>88412300051411</t>
  </si>
  <si>
    <t>Old Spice shower gel + shampoo 400 ml. Original 3 in 1.</t>
  </si>
  <si>
    <t>8006540839003</t>
  </si>
  <si>
    <t>01/2028</t>
  </si>
  <si>
    <t>8006540839027</t>
  </si>
  <si>
    <t>de, at, ch, es, pt, tr, uz.</t>
  </si>
  <si>
    <t>Old Spice shower gel + shampoo 400 ml. Wolfthorn 3 in 1.</t>
  </si>
  <si>
    <t>8006540842454</t>
  </si>
  <si>
    <t>8006540842447</t>
  </si>
  <si>
    <t>Old Spice spray deodorant 150 ml. Captain.</t>
  </si>
  <si>
    <t>8006540786116</t>
  </si>
  <si>
    <t>396</t>
  </si>
  <si>
    <t>8006540786123</t>
  </si>
  <si>
    <t>de, at, ch, es, pt, tr.</t>
  </si>
  <si>
    <t>Old Spice spray deodorant 150 ml. Rockstar.</t>
  </si>
  <si>
    <t>8700216169769</t>
  </si>
  <si>
    <t>8700216169776</t>
  </si>
  <si>
    <t>04/2027</t>
  </si>
  <si>
    <t>Old Spice stick deodorant 50 ml. Bearglove.</t>
  </si>
  <si>
    <t>4015600862640</t>
  </si>
  <si>
    <t>4015600862664</t>
  </si>
  <si>
    <t>pl, ua, cz, hu, sk, hr, si, lv, lt, ee, ru, by, kz, uz.</t>
  </si>
  <si>
    <t>Old Spice stick deodorant 50 ml. Captain.</t>
  </si>
  <si>
    <t>8001090970497</t>
  </si>
  <si>
    <t>80010909704974</t>
  </si>
  <si>
    <t>uk, ie, mt, al, ro, md, bg, rs, ba, me, mk, el, cy, es, pt.</t>
  </si>
  <si>
    <t>Old spice stick deodorant 50 ml. Deep sea.</t>
  </si>
  <si>
    <t>8001841283944</t>
  </si>
  <si>
    <t>8001841283951</t>
  </si>
  <si>
    <t>Old Spice stick deodorant 50 ml. Epic legend.</t>
  </si>
  <si>
    <t>8700216607377</t>
  </si>
  <si>
    <t>8700216607391</t>
  </si>
  <si>
    <t>Old Spice stick deodorant 50 ml. Night panter.</t>
  </si>
  <si>
    <t>8006540424186</t>
  </si>
  <si>
    <t>8006540424193</t>
  </si>
  <si>
    <t>Old Spice stick deodorant 50 ml. Original.</t>
  </si>
  <si>
    <t>5000174003451</t>
  </si>
  <si>
    <t>5000174003512</t>
  </si>
  <si>
    <t>Old Spice stick deodorant 50 ml. Restart.</t>
  </si>
  <si>
    <t>8001841858357</t>
  </si>
  <si>
    <t>8001841858364</t>
  </si>
  <si>
    <t>pl, ru, cz, hr, lv, ee, hu, sk, sl, lt.</t>
  </si>
  <si>
    <t>Old Spice stick deodorant 50 ml. Rock star.</t>
  </si>
  <si>
    <t>8700216203883</t>
  </si>
  <si>
    <t>8700216203876</t>
  </si>
  <si>
    <t>Old Spice stick deodorant 50 ml. Whitewater.</t>
  </si>
  <si>
    <t>5000174003413</t>
  </si>
  <si>
    <t>5000174708257</t>
  </si>
  <si>
    <t>ro, mo, bg, al, ba, mk, rs, el, nl, de, fr, it, es, pt, fi, se, no, dk, tr, en.</t>
  </si>
  <si>
    <t>Old Spice stick deodorant 50 ml. Wolfthorn.</t>
  </si>
  <si>
    <t>4084500488465</t>
  </si>
  <si>
    <t>4084500488472</t>
  </si>
  <si>
    <t>4084500019195</t>
  </si>
  <si>
    <t>4084500019201</t>
  </si>
  <si>
    <t>Oral B  toothbrush 1 u. Pro-clean Medium.</t>
  </si>
  <si>
    <t>8700216476553</t>
  </si>
  <si>
    <t>8700216928281</t>
  </si>
  <si>
    <t>Oral B electric toothbrush refill 4 u. Pro Precision clean.</t>
  </si>
  <si>
    <t>8006540886540</t>
  </si>
  <si>
    <t>68</t>
  </si>
  <si>
    <t>80065408865404</t>
  </si>
  <si>
    <t>uk, ie, de, at, ch, fr, nl, be, it, lu, es, pt, se, fi, dk, no.</t>
  </si>
  <si>
    <t>Oral B mouthwash 2X500 ml. Complete menta fresca without alcohol.</t>
  </si>
  <si>
    <t>5011321992764</t>
  </si>
  <si>
    <t>5011321992788</t>
  </si>
  <si>
    <t>Oral B mouthwash 2X500 ml. Fluor without alcohol.</t>
  </si>
  <si>
    <t>8001841815497</t>
  </si>
  <si>
    <t>08001841815503</t>
  </si>
  <si>
    <t>it, al.</t>
  </si>
  <si>
    <t>Oral B toothbrush 1 u. Bambú.</t>
  </si>
  <si>
    <t>3014260111328</t>
  </si>
  <si>
    <t>3014260111342</t>
  </si>
  <si>
    <t>Oral B toothbrush 1 u. Precision ultrathin.</t>
  </si>
  <si>
    <t>3014260098803</t>
  </si>
  <si>
    <t>03014260098827</t>
  </si>
  <si>
    <t>Oral B toothbrush 1 u. Pro-3D white advanced Medium.</t>
  </si>
  <si>
    <t>8700216476454</t>
  </si>
  <si>
    <t>08700216476416</t>
  </si>
  <si>
    <t>es, be, nl, lu, pt.</t>
  </si>
  <si>
    <t>Oral B toothbrush display 12 u. Complete clean.</t>
  </si>
  <si>
    <t>3014260108694</t>
  </si>
  <si>
    <t>63</t>
  </si>
  <si>
    <t>3014260108717</t>
  </si>
  <si>
    <t>es, fr, pt.</t>
  </si>
  <si>
    <t>Oral B toothpaste 125 ml. Tartar prevention.</t>
  </si>
  <si>
    <t>8700216675482</t>
  </si>
  <si>
    <t>245</t>
  </si>
  <si>
    <t>8700216675505</t>
  </si>
  <si>
    <t>Palmolive shampoo 350 ml.  Anti-dandruff mint.</t>
  </si>
  <si>
    <t>8718951576919</t>
  </si>
  <si>
    <t>08718951576902</t>
  </si>
  <si>
    <t>el, it, pt, en, pl, ro, bg, si, mk, sk, lv, lt, al cz, st, hr, bh.</t>
  </si>
  <si>
    <t>Palmolive shampoo 350 ml. 2 in 1 peach moisturizer.</t>
  </si>
  <si>
    <t>8718951577008</t>
  </si>
  <si>
    <t>08718951576995</t>
  </si>
  <si>
    <t>fr, it, el, pt, pl, ro, hr, si, bg, mk, al, cz, lt, lv, st.</t>
  </si>
  <si>
    <t>Palmolive shampoo 350 ml. Long &amp; shine olive oil.</t>
  </si>
  <si>
    <t>8718951577039</t>
  </si>
  <si>
    <t>08718951577022</t>
  </si>
  <si>
    <t>fr, it, el, hr, si, bg, mk, al.</t>
  </si>
  <si>
    <t>Palmolive shampoo 350 ml. Pomegranate dyed hair.</t>
  </si>
  <si>
    <t>8718951576940</t>
  </si>
  <si>
    <t>08718951576933</t>
  </si>
  <si>
    <t>it, fr, el.</t>
  </si>
  <si>
    <t>Palmolive shampoo 350 ml. Silky shine effect aloe vera.</t>
  </si>
  <si>
    <t>8718951576971</t>
  </si>
  <si>
    <t>08718951576964</t>
  </si>
  <si>
    <t>it, el, pt, pl, ro, hb, si, bg, mk, al, cz, sk, lt, lv, st.</t>
  </si>
  <si>
    <t>Pantene mixed case 11 u.  repair &amp; protect Shampoo 325 ml. + ampoules 275 ml. + Ampollas 3X15 ml.</t>
  </si>
  <si>
    <t>8700216944625</t>
  </si>
  <si>
    <t>08700216944625</t>
  </si>
  <si>
    <t>Pantene pack curly shampoo 325 ml. + Conditioner 275 ml. + Curl defining 145 ml.</t>
  </si>
  <si>
    <t>8700216906272</t>
  </si>
  <si>
    <t>08700216906258</t>
  </si>
  <si>
    <t>Pantene pack Repair &amp; protect 325 + Conditioner 275 ml + Ampoules 3x15 ml.</t>
  </si>
  <si>
    <t>8700216906289</t>
  </si>
  <si>
    <t>08700216906296</t>
  </si>
  <si>
    <t>Pantene shampoo 325 ml.  Smooth &amp; sleek.</t>
  </si>
  <si>
    <t>8700216566919</t>
  </si>
  <si>
    <t>8700216566902</t>
  </si>
  <si>
    <t>Pantene shampoo 325 ml. Body and volume.</t>
  </si>
  <si>
    <t>8700216566841</t>
  </si>
  <si>
    <t>8700216566889</t>
  </si>
  <si>
    <t>Pantene shampoo 325 ml. Classic clean.</t>
  </si>
  <si>
    <t>8700216566964</t>
  </si>
  <si>
    <t>8700216566971</t>
  </si>
  <si>
    <t>Pantene shampoo 325 ml. Color protect.</t>
  </si>
  <si>
    <t>8700126566926</t>
  </si>
  <si>
    <t>8700216566933</t>
  </si>
  <si>
    <t>Pantene shampoo 325 ml. Repair and protect.</t>
  </si>
  <si>
    <t>8700216567480</t>
  </si>
  <si>
    <t>8700216567510</t>
  </si>
  <si>
    <t>Pantene shampoo 625 ml. Classic clean.</t>
  </si>
  <si>
    <t>8700216827089</t>
  </si>
  <si>
    <t>08700216827072</t>
  </si>
  <si>
    <t>Pantene shampoo 625 ml. Curly</t>
  </si>
  <si>
    <t>8700216827126</t>
  </si>
  <si>
    <t>08700216827133</t>
  </si>
  <si>
    <t>Pantene shampoo 625 ml. Soft &amp; smooth.</t>
  </si>
  <si>
    <t>8700216831086</t>
  </si>
  <si>
    <t>08700216831093</t>
  </si>
  <si>
    <t>Pantene shampoo 700 ml. Repair &amp; protect.</t>
  </si>
  <si>
    <t>4084500359741</t>
  </si>
  <si>
    <t>4084500359758</t>
  </si>
  <si>
    <t>Pantene shampoo 700 ml. Soft &amp; Smooth.</t>
  </si>
  <si>
    <t>4084500359802</t>
  </si>
  <si>
    <t>4084500359819</t>
  </si>
  <si>
    <t>Parogencyl handle replaceable interdental brush + 6 refill starter kit soft.</t>
  </si>
  <si>
    <t>8720182119544</t>
  </si>
  <si>
    <t>528</t>
  </si>
  <si>
    <t>08720182119711</t>
  </si>
  <si>
    <t>Parogencyl Interdental brush replacement 6 u. S - 0.9 mm.</t>
  </si>
  <si>
    <t>8720182119568</t>
  </si>
  <si>
    <t>08720182119810</t>
  </si>
  <si>
    <t>Parogencyl Interdental brush replacement 6 u. XS - 0.8 mm.</t>
  </si>
  <si>
    <t>8720182119551</t>
  </si>
  <si>
    <t>08720182119773</t>
  </si>
  <si>
    <t>Parogencyl interdental brush replacement 6 u. XXS - 0.6 mm.</t>
  </si>
  <si>
    <t>8720182119476</t>
  </si>
  <si>
    <t>08720182119735</t>
  </si>
  <si>
    <t>Parogencyl interdental stick 30 u. Soft.</t>
  </si>
  <si>
    <t>8720181088902</t>
  </si>
  <si>
    <t>792</t>
  </si>
  <si>
    <t>08720181089008</t>
  </si>
  <si>
    <t>Parogencyl toothbrush refill 2 u. Gingi PRO soft.</t>
  </si>
  <si>
    <t>8720181175329</t>
  </si>
  <si>
    <t>08720181175404</t>
  </si>
  <si>
    <t>Paw Patrol backpack. Showergel 300 ml. + Eau de cologne 50 ml.</t>
  </si>
  <si>
    <t>8411114093376</t>
  </si>
  <si>
    <t>18411114093373</t>
  </si>
  <si>
    <t>en, es, fr, de, it, pt, nl, el, da, sv, fi, pl.</t>
  </si>
  <si>
    <t>Paw Patrol shampoo &amp; gel 500 ml.</t>
  </si>
  <si>
    <t>8411114094441</t>
  </si>
  <si>
    <t>18411114094448</t>
  </si>
  <si>
    <t>Peppa Pig shower gel &amp; shampoo 400 ml.</t>
  </si>
  <si>
    <t>8411114089867</t>
  </si>
  <si>
    <t>154</t>
  </si>
  <si>
    <t>18411114089864</t>
  </si>
  <si>
    <t>Pepsodent toothpaste 75 ml. 123 Complete protection.</t>
  </si>
  <si>
    <t>8934839134433</t>
  </si>
  <si>
    <t>18934839134430</t>
  </si>
  <si>
    <t>en, it, fr, es, ro, ar, zh</t>
  </si>
  <si>
    <t>Pepsodent toothpaste 75 ml. Active charcoal.</t>
  </si>
  <si>
    <t>8934839134440</t>
  </si>
  <si>
    <t>18934839134447</t>
  </si>
  <si>
    <t>en, it, fr, es, ro, ar, zh.</t>
  </si>
  <si>
    <t>Pepsodent toothpaste 75 ml. Active fresh action 123.</t>
  </si>
  <si>
    <t>8934839134457</t>
  </si>
  <si>
    <t>18934839134454</t>
  </si>
  <si>
    <t>Pepsodent toothpaste 75 ml. Active Fresh.</t>
  </si>
  <si>
    <t>8934839127497</t>
  </si>
  <si>
    <t>52</t>
  </si>
  <si>
    <t>18934839127494</t>
  </si>
  <si>
    <t>en, es, zh, it, ro, fr, ar.</t>
  </si>
  <si>
    <t>Pepsodent toothpaste 75 ml. Baking soda &amp; rosemary.</t>
  </si>
  <si>
    <t>8934839134426</t>
  </si>
  <si>
    <t>18934839134423</t>
  </si>
  <si>
    <t>Pepsodent toothpaste 75 ml. Whitening action 123.</t>
  </si>
  <si>
    <t>8934839134464</t>
  </si>
  <si>
    <t>18934839134461</t>
  </si>
  <si>
    <t>Radox liquid handwash 250 ml. thyme &amp; tea tree.</t>
  </si>
  <si>
    <t>8712561736862</t>
  </si>
  <si>
    <t>342</t>
  </si>
  <si>
    <t>87125617368622</t>
  </si>
  <si>
    <t>RedOne after shave cream 400 ml. Cologne fragance.</t>
  </si>
  <si>
    <t>8697926007613</t>
  </si>
  <si>
    <t>18697926007610</t>
  </si>
  <si>
    <t>tr, en, de, fr, nl, es, ro, ru, ar.</t>
  </si>
  <si>
    <t>RedOne after shave cream 400 ml. Cologne gold.</t>
  </si>
  <si>
    <t>8697926016974</t>
  </si>
  <si>
    <t>18697926016971</t>
  </si>
  <si>
    <t>RedOne after shave cream 400 ml. Cologne revitalizing. !</t>
  </si>
  <si>
    <t>8697926016981</t>
  </si>
  <si>
    <t>18697926016988</t>
  </si>
  <si>
    <t>tr, es, en, de, fr, nl, ro, ru, ar.</t>
  </si>
  <si>
    <t>RedOne after shave cream 400 ml. Cologne silver.</t>
  </si>
  <si>
    <t>8697926016967</t>
  </si>
  <si>
    <t>18697926016964</t>
  </si>
  <si>
    <t>RedOne after shave cream 400 ml. Fresh cologne.</t>
  </si>
  <si>
    <t>8697926007590</t>
  </si>
  <si>
    <t>18697926007597</t>
  </si>
  <si>
    <t>86979260075908</t>
  </si>
  <si>
    <t>RedOne after shave cream 400 ml. Sport.</t>
  </si>
  <si>
    <t>8697926007606</t>
  </si>
  <si>
    <t>18697926007603</t>
  </si>
  <si>
    <t>RedOne aqua hair gel wax 150 ml. Full force black.</t>
  </si>
  <si>
    <t>8697926016240</t>
  </si>
  <si>
    <t>18697926016247</t>
  </si>
  <si>
    <t>fr, tr, es, nl, ru, it, ar, ro.</t>
  </si>
  <si>
    <t>RedOne aqua hair gel wax 150 ml. Full force Violetta.</t>
  </si>
  <si>
    <t>8697926016257</t>
  </si>
  <si>
    <t>18697926016254</t>
  </si>
  <si>
    <t>RedOne aqua hair gel wax 150 ml. Orange full force.</t>
  </si>
  <si>
    <t>8697926024191</t>
  </si>
  <si>
    <t>18697926024198</t>
  </si>
  <si>
    <t>fr, it, ar, ro, tr, es, nl, ru.</t>
  </si>
  <si>
    <t>RedOne aqua hair wax 150 ml. Full force blue.</t>
  </si>
  <si>
    <t>8697926007422</t>
  </si>
  <si>
    <t>18697926007429</t>
  </si>
  <si>
    <t>RedOne aqua hair wax 150 ml. Full force olive.</t>
  </si>
  <si>
    <t>8697926023279</t>
  </si>
  <si>
    <t>18697926023276</t>
  </si>
  <si>
    <t>RedOne aqua hair wax 150 ml. Full force Quicksilver.</t>
  </si>
  <si>
    <t>8697926007262</t>
  </si>
  <si>
    <t>18697926007269</t>
  </si>
  <si>
    <t>fr, es, tr, no, ru, it, ar, ro.</t>
  </si>
  <si>
    <t>RedOne aqua hair wax 50 ml. Full force red.</t>
  </si>
  <si>
    <t>8697926023248</t>
  </si>
  <si>
    <t>11869792600746</t>
  </si>
  <si>
    <t>RedOne aqua hair wax 50 ml. Full force Violetta.</t>
  </si>
  <si>
    <t>8697926023262</t>
  </si>
  <si>
    <t>18697926023269</t>
  </si>
  <si>
    <t>RedOne beard &amp; mustache 50 ml. Argan care oil.</t>
  </si>
  <si>
    <t>8697926022517</t>
  </si>
  <si>
    <t>121</t>
  </si>
  <si>
    <t>18697926022514</t>
  </si>
  <si>
    <t>tr, en, fr, de, ar.</t>
  </si>
  <si>
    <t>RedOne beard &amp; mustache 50 ml. Keratin care oil.</t>
  </si>
  <si>
    <t>8697926022579</t>
  </si>
  <si>
    <t>18697926022576</t>
  </si>
  <si>
    <t>RedOne beard &amp; mustache oil 50 ml. Olive oil &amp; coconut.</t>
  </si>
  <si>
    <t>8697926026287</t>
  </si>
  <si>
    <t>18697926026284</t>
  </si>
  <si>
    <t>RedOne beard &amp; mustache oil 50 ml. Sweet almond.</t>
  </si>
  <si>
    <t>8697926025594</t>
  </si>
  <si>
    <t>18697926025591</t>
  </si>
  <si>
    <t>RedOne cologne spray 150 ml. Amber.</t>
  </si>
  <si>
    <t>8697926024481</t>
  </si>
  <si>
    <t>18697926024488</t>
  </si>
  <si>
    <t>tr, en, de, fr.</t>
  </si>
  <si>
    <t>RedOne cologne spray 150 ml. Gold.</t>
  </si>
  <si>
    <t>8697926024467</t>
  </si>
  <si>
    <t>18697926024464</t>
  </si>
  <si>
    <t>RedOne cologne spray 150 ml. Lemon.</t>
  </si>
  <si>
    <t>8697926007293</t>
  </si>
  <si>
    <t>18697926007290</t>
  </si>
  <si>
    <t>RedOne cologne spray 150 ml. Old marine.</t>
  </si>
  <si>
    <t>8697926001307</t>
  </si>
  <si>
    <t>18697926001304</t>
  </si>
  <si>
    <t>RedOne cologne spray 150 ml. Silver.</t>
  </si>
  <si>
    <t>8697926024474</t>
  </si>
  <si>
    <t>18697926024471</t>
  </si>
  <si>
    <t>RedOne cologne spray 150 ml. Thunderbold.</t>
  </si>
  <si>
    <t>8697926001314</t>
  </si>
  <si>
    <t>02/2027</t>
  </si>
  <si>
    <t>18697926001311</t>
  </si>
  <si>
    <t>RedOne cologne spray 150 ml. Undulation.</t>
  </si>
  <si>
    <t>8697926024450</t>
  </si>
  <si>
    <t>18697926024457</t>
  </si>
  <si>
    <t>RedOne cologne spray 150 ml. Volcanic.</t>
  </si>
  <si>
    <t>8697926024443</t>
  </si>
  <si>
    <t>18697926024440</t>
  </si>
  <si>
    <t>RedOne face tonic 250 ml. Pure control.</t>
  </si>
  <si>
    <t>8697926016325</t>
  </si>
  <si>
    <t>18697926016322</t>
  </si>
  <si>
    <t>tr, en, de, nl, fr, ro, ru, ar.</t>
  </si>
  <si>
    <t>RedOne facial scrub 400 ml. Strawberry &amp; aloe vera.</t>
  </si>
  <si>
    <t>8697926026553</t>
  </si>
  <si>
    <t>18697926026550</t>
  </si>
  <si>
    <t>tr, en, de, fr, nl, es, ar.</t>
  </si>
  <si>
    <t>RedOne fiber wax 150 ml. Creative strong &amp; matte.</t>
  </si>
  <si>
    <t>8697926016639</t>
  </si>
  <si>
    <t>86979260166392</t>
  </si>
  <si>
    <t>es, en, de.</t>
  </si>
  <si>
    <t>RedOne forming creative hair cream 100 ml. Creative flexible hold.</t>
  </si>
  <si>
    <t>8697926016783</t>
  </si>
  <si>
    <t>18697926016780</t>
  </si>
  <si>
    <t>tr, en, de.</t>
  </si>
  <si>
    <t>RedOne hair creative fibex wax 100 ml. Strong &amp; matte.</t>
  </si>
  <si>
    <t>8697926016790</t>
  </si>
  <si>
    <t>18697926016797</t>
  </si>
  <si>
    <t>en, de, tr.</t>
  </si>
  <si>
    <t>RedOne hair gel 400 ml. Gum effect.</t>
  </si>
  <si>
    <t>8697926026652</t>
  </si>
  <si>
    <t>18697926026659</t>
  </si>
  <si>
    <t>tr, en, de, fr, ru, nl, es, ro.</t>
  </si>
  <si>
    <t>RedOne hair gel 400 ml. Maximum control Red.</t>
  </si>
  <si>
    <t>8697926026669</t>
  </si>
  <si>
    <t>18697926026666</t>
  </si>
  <si>
    <t>RedOne hair gel wax 150 ml. Full force black minibox.</t>
  </si>
  <si>
    <t>38697926016241</t>
  </si>
  <si>
    <t>RedOne hair gel wax 50 ml. Full force black.</t>
  </si>
  <si>
    <t>8697926023217</t>
  </si>
  <si>
    <t>18697926023214</t>
  </si>
  <si>
    <t>RedOne hair gel wax 50 ml. Full force orange.</t>
  </si>
  <si>
    <t>8697926023231</t>
  </si>
  <si>
    <t>18697926023238</t>
  </si>
  <si>
    <t>fr, tr, es, nl, ru, pl, ar, ro.</t>
  </si>
  <si>
    <t>RedOne hair gel wax 50 ml. Full force Quicksilver.</t>
  </si>
  <si>
    <t>8697926023224</t>
  </si>
  <si>
    <t>18697926023221</t>
  </si>
  <si>
    <t>RedOne hair gel wax 50 ml. Full force red.</t>
  </si>
  <si>
    <t>18697926023245</t>
  </si>
  <si>
    <t>RedOne hair pomade 100 ml. Strong hold &amp; shine glod.</t>
  </si>
  <si>
    <t>8697926016776</t>
  </si>
  <si>
    <t>18697926016773</t>
  </si>
  <si>
    <t>fr, tr, tr, en, de.</t>
  </si>
  <si>
    <t>RedOne hair powder 20 gr. Black strong hold &amp; matte finish.</t>
  </si>
  <si>
    <t>8697926027581</t>
  </si>
  <si>
    <t>48697926027589</t>
  </si>
  <si>
    <t>tr, en, fr, de, es, ru, nl, ar.</t>
  </si>
  <si>
    <t>RedOne hair powder 20 gr. Blue strong hold &amp; matte finish.</t>
  </si>
  <si>
    <t>8697926027598</t>
  </si>
  <si>
    <t>48697926027596</t>
  </si>
  <si>
    <t>RedOne hair powder 20 gr. Powder cloud volume styling.</t>
  </si>
  <si>
    <t>8697926025167</t>
  </si>
  <si>
    <t>18697926025164</t>
  </si>
  <si>
    <t>fr, en, de, es, ru, nl, ar.</t>
  </si>
  <si>
    <t>86979260251678</t>
  </si>
  <si>
    <t>RedOne hair powder 20 gr. Red strong hold &amp; matte finish.</t>
  </si>
  <si>
    <t>8697926027604</t>
  </si>
  <si>
    <t>48697926027602</t>
  </si>
  <si>
    <t>RedOne hair spray 500 ml. Nourishing sheen spray olive oil &amp; coconut.</t>
  </si>
  <si>
    <t>8697926026263</t>
  </si>
  <si>
    <t>18697926026260</t>
  </si>
  <si>
    <t>en, fr, de, es, tr, ru, nl, ro, ar.</t>
  </si>
  <si>
    <t>RedOne hair styling gel 400 ml. Argan oil.</t>
  </si>
  <si>
    <t>8697926026645</t>
  </si>
  <si>
    <t>18697926026642</t>
  </si>
  <si>
    <t>RedOne hair styling gel 400 ml. Keratine.</t>
  </si>
  <si>
    <t>8697926026638</t>
  </si>
  <si>
    <t>18697926026635</t>
  </si>
  <si>
    <t>RedOne hair styling spray  400 ml. Full force show off.</t>
  </si>
  <si>
    <t>8697926025204</t>
  </si>
  <si>
    <t>18697926025201</t>
  </si>
  <si>
    <t>RedOne hair styling spray 400 ml. Full force passion.</t>
  </si>
  <si>
    <t>8697926025211</t>
  </si>
  <si>
    <t>18697926025218</t>
  </si>
  <si>
    <t>RedOne hair styling spray 400 ml. Full force ultra hold.</t>
  </si>
  <si>
    <t>8697926025198</t>
  </si>
  <si>
    <t>18697926025195</t>
  </si>
  <si>
    <t>RedOne hair tonic 250 ml. Menthol fresh.</t>
  </si>
  <si>
    <t>8697926025617</t>
  </si>
  <si>
    <t>18697926025614</t>
  </si>
  <si>
    <t>tr, en, fr, de, ru, nl,ro, ar.</t>
  </si>
  <si>
    <t>RedOne hair wax 100 ml. Creative strong &amp; hold matte.</t>
  </si>
  <si>
    <t>8697926016868</t>
  </si>
  <si>
    <t>18697926016865</t>
  </si>
  <si>
    <t>RedOne hair wax 100 ml. Matte look black.</t>
  </si>
  <si>
    <t>8697926023866</t>
  </si>
  <si>
    <t>86979260238662</t>
  </si>
  <si>
    <t>tr, fr, en, ar.</t>
  </si>
  <si>
    <t>RedOne hair wax 100 ml. Matte look passionate.</t>
  </si>
  <si>
    <t>8697926023774</t>
  </si>
  <si>
    <t>18697926023771</t>
  </si>
  <si>
    <t>RedOne hair wax 100 ml. Matte look white.</t>
  </si>
  <si>
    <t>8697926023873</t>
  </si>
  <si>
    <t>18697926023870</t>
  </si>
  <si>
    <t>tr, fr, en  ar.</t>
  </si>
  <si>
    <t>RedOne hair wax 100 ml. Spider show off.</t>
  </si>
  <si>
    <t>8697926023781</t>
  </si>
  <si>
    <t>86979260237818</t>
  </si>
  <si>
    <t>RedOne hair wax 150 ml. Full force bright white.</t>
  </si>
  <si>
    <t>8697926016141</t>
  </si>
  <si>
    <t>18697926016148</t>
  </si>
  <si>
    <t>RedOne hair wax 150 ml. Full force Cobra red.</t>
  </si>
  <si>
    <t>8697926023286</t>
  </si>
  <si>
    <t>18697926023283</t>
  </si>
  <si>
    <t>RedOne hair wax 150 ml. Full force red.</t>
  </si>
  <si>
    <t>8697926007439</t>
  </si>
  <si>
    <t>18697926007436</t>
  </si>
  <si>
    <t>RedOne hair wax 50 ml. Full force blue.</t>
  </si>
  <si>
    <t>8697926023255</t>
  </si>
  <si>
    <t>18697926023252</t>
  </si>
  <si>
    <t>Redone hair wax 50 ml. Full force bright white.</t>
  </si>
  <si>
    <t>8697926025846</t>
  </si>
  <si>
    <t>18697926025843</t>
  </si>
  <si>
    <t>fr, tr, es ,tr, es, nl, ru, pl, ar, ro.</t>
  </si>
  <si>
    <t>RedOne matte hair wax 150 ml. Full force argan.</t>
  </si>
  <si>
    <t>8697926018558</t>
  </si>
  <si>
    <t>18697926018555</t>
  </si>
  <si>
    <t>RedOne matte hair wax 150 ml. Full force green</t>
  </si>
  <si>
    <t>8697926007255</t>
  </si>
  <si>
    <t>18697926007252</t>
  </si>
  <si>
    <t>RedOne matte hair wax 150 ml. Full force Keratin.</t>
  </si>
  <si>
    <t>8697926018541</t>
  </si>
  <si>
    <t>18697926018548</t>
  </si>
  <si>
    <t>tr, en, es, ru, nl, fr, de, ro, pl, ar.</t>
  </si>
  <si>
    <t>RedOne shaving gel 1000 ml. Amber ultra lubricant.</t>
  </si>
  <si>
    <t>8697926025600</t>
  </si>
  <si>
    <t>18697926025607</t>
  </si>
  <si>
    <t>tr, en, ru, fr, nl, ar.</t>
  </si>
  <si>
    <t>RedOne shaving gel 1000 ml. Face Fresh.</t>
  </si>
  <si>
    <t>8697926024955</t>
  </si>
  <si>
    <t>18697926024952</t>
  </si>
  <si>
    <t>RedOne shaving gel 1000 ml. Forest Fruit refreshing &amp; lubricant.</t>
  </si>
  <si>
    <t>8697926024962</t>
  </si>
  <si>
    <t>18697926024969</t>
  </si>
  <si>
    <t>RedOne shaving gel 1000 ml. Forest fruit refreshing.</t>
  </si>
  <si>
    <t>8697926016875</t>
  </si>
  <si>
    <t>18697926016872</t>
  </si>
  <si>
    <t>tr, en, fr, de, es, ru, nl, ro, pl, ar.</t>
  </si>
  <si>
    <t>RedOne shaving gel 1000 ml. Gold.</t>
  </si>
  <si>
    <t>8697926023620</t>
  </si>
  <si>
    <t>18697926023627</t>
  </si>
  <si>
    <t>RedOne shaving gel 1000 ml. Silver.</t>
  </si>
  <si>
    <t>8697926023637</t>
  </si>
  <si>
    <t>18697926023634</t>
  </si>
  <si>
    <t>RedOne style'z locks one gel 150 ml. Supreme hold scented.</t>
  </si>
  <si>
    <t>8697926026331</t>
  </si>
  <si>
    <t>18697926026338</t>
  </si>
  <si>
    <t>tr, en.</t>
  </si>
  <si>
    <t>RedOne style'z locks one gel 150 ml. Supreme hold.</t>
  </si>
  <si>
    <t>8697926026348</t>
  </si>
  <si>
    <t>18697926026369</t>
  </si>
  <si>
    <t>RedOne style'z locks one gel 475 ml. Supreme hold scented.</t>
  </si>
  <si>
    <t>8697926026546</t>
  </si>
  <si>
    <t>18697926026314</t>
  </si>
  <si>
    <t>tr, en, fr, es, ru.</t>
  </si>
  <si>
    <t>RedOne style'z locks one gel 475 ml. Supreme hold.</t>
  </si>
  <si>
    <t>8697926026539</t>
  </si>
  <si>
    <t>18697926026536</t>
  </si>
  <si>
    <t>tr, en, fr, es, ru,</t>
  </si>
  <si>
    <t>RedOne style'z professional hair gel 236 ml. Argan oil.</t>
  </si>
  <si>
    <t>8697926025471</t>
  </si>
  <si>
    <t>18697926025478</t>
  </si>
  <si>
    <t>fr, tr, en, de, es, nl, ar.</t>
  </si>
  <si>
    <t>RedOne style'z professional hair gel 236 ml. Coconut oil.</t>
  </si>
  <si>
    <t>8697926025563</t>
  </si>
  <si>
    <t>18697926025560</t>
  </si>
  <si>
    <t>RedOne style'z professional hair gel 236 ml. Olive oil.</t>
  </si>
  <si>
    <t>8697926025532</t>
  </si>
  <si>
    <t>18697926025539</t>
  </si>
  <si>
    <t>RedOne style'z professional hair gel 236 ml. Protein minibox.</t>
  </si>
  <si>
    <t>8697926025440</t>
  </si>
  <si>
    <t>18697926025448</t>
  </si>
  <si>
    <t>fr, nl, en, es, ar.</t>
  </si>
  <si>
    <t>RedOne style'z professional hair gel 236 ml. Protein.</t>
  </si>
  <si>
    <t>18697926025447</t>
  </si>
  <si>
    <t>RedOne style'z professional hair gel 483 ml. Argan oil.</t>
  </si>
  <si>
    <t>8697926025488</t>
  </si>
  <si>
    <t>18697926025485</t>
  </si>
  <si>
    <t>fr, tr, en, de, nl, pl, ar.</t>
  </si>
  <si>
    <t>RedOne style'z professional hair gel 483 ml. Coconut oil.</t>
  </si>
  <si>
    <t>8697926025570</t>
  </si>
  <si>
    <t>18697926025577</t>
  </si>
  <si>
    <t>fr, tr, en, de, es, nl, pl, ar.</t>
  </si>
  <si>
    <t>RedOne style'z professional hair gel 483 ml. Olive oil.</t>
  </si>
  <si>
    <t>8697926025549</t>
  </si>
  <si>
    <t>18697926025546</t>
  </si>
  <si>
    <t>RedOne style'z professional hair gel 483 ml. Protein.</t>
  </si>
  <si>
    <t>8697926025457</t>
  </si>
  <si>
    <t>18697926025454</t>
  </si>
  <si>
    <t>RedOne style'z professional hair gel 910 ml. Argan oil.</t>
  </si>
  <si>
    <t>8697926025495</t>
  </si>
  <si>
    <t>18697926025492</t>
  </si>
  <si>
    <t>fr, tr, en, de, es, ro, ar.</t>
  </si>
  <si>
    <t>RedOne style'z professional hair gel 910 ml. Coconut oil.</t>
  </si>
  <si>
    <t>8697926025587</t>
  </si>
  <si>
    <t>18697926025584</t>
  </si>
  <si>
    <t>fr, tr, en, de, ru, es, ro, ar.</t>
  </si>
  <si>
    <t>RedOne style'z professional hair gel 910 ml. Curl &amp; wavy.</t>
  </si>
  <si>
    <t>8697926025525</t>
  </si>
  <si>
    <t>18697926025522</t>
  </si>
  <si>
    <t>RedOne style'z professional hair gel 910 ml. Olive oil.</t>
  </si>
  <si>
    <t>8697926025556</t>
  </si>
  <si>
    <t>18697926025553</t>
  </si>
  <si>
    <t>Reebok body mist 250 ml. Active Hydration woman.</t>
  </si>
  <si>
    <t>8436581949841</t>
  </si>
  <si>
    <t>18436581949848</t>
  </si>
  <si>
    <t>bg, bs, cn, cz, de, dk, en, es, fi, fr, el, hu, it, nl, no, pt, ro, ru, se, sl, sk , tr, th, kz, ar.</t>
  </si>
  <si>
    <t>Reebok body mist 250 ml. Cooling relief woman.</t>
  </si>
  <si>
    <t>8436581949858</t>
  </si>
  <si>
    <t>18436581949855</t>
  </si>
  <si>
    <t>Reebok body mist 250 ml. Glow woman.</t>
  </si>
  <si>
    <t>8436581949865</t>
  </si>
  <si>
    <t>18436581949862</t>
  </si>
  <si>
    <t>Reebok body mist 250 ml. Revitalizing Boost woman.</t>
  </si>
  <si>
    <t>8436581949872</t>
  </si>
  <si>
    <t>18436581949879</t>
  </si>
  <si>
    <t>Reebok body mist 250 ml. Soft Vibes woman.</t>
  </si>
  <si>
    <t>8436581949889</t>
  </si>
  <si>
    <t>18436581949886</t>
  </si>
  <si>
    <t>Reebok eau de toilette 100 ml. Activate your senses man.</t>
  </si>
  <si>
    <t>8436611101331</t>
  </si>
  <si>
    <t>18436611101338</t>
  </si>
  <si>
    <t>en, es, pt, de, fr, it, ar.</t>
  </si>
  <si>
    <t>Reebok eau de toilette 100 ml. Activate your senses woman.</t>
  </si>
  <si>
    <t>8436611101324</t>
  </si>
  <si>
    <t>360</t>
  </si>
  <si>
    <t>18436611101321</t>
  </si>
  <si>
    <t>Reebok eau de toilette 100 ml. Cool your body man.</t>
  </si>
  <si>
    <t>8436581945911</t>
  </si>
  <si>
    <t>18436581945918</t>
  </si>
  <si>
    <t>Reebok eau de toilette 100 ml. Cool your body woman.</t>
  </si>
  <si>
    <t>8436581945881</t>
  </si>
  <si>
    <t>18436581945888</t>
  </si>
  <si>
    <t>Reebok eau de toilette 100 ml. Delta. Cool your body man.</t>
  </si>
  <si>
    <t>8436581948226</t>
  </si>
  <si>
    <t>444</t>
  </si>
  <si>
    <t>18436581948223</t>
  </si>
  <si>
    <t>en, fr, es, pt, de, it, ar.</t>
  </si>
  <si>
    <t>Reebok eau de toilette 100 ml. Delta. Move your spirit man.</t>
  </si>
  <si>
    <t>8436581948219</t>
  </si>
  <si>
    <t>18436581948216</t>
  </si>
  <si>
    <t>Reebok eau de toilette 100 ml. Inspire your mind man.</t>
  </si>
  <si>
    <t>8436581945928</t>
  </si>
  <si>
    <t>18436581945925</t>
  </si>
  <si>
    <t>Reebok eau de toilette 100 ml. Inspire your mind woman.</t>
  </si>
  <si>
    <t>8436581945898</t>
  </si>
  <si>
    <t>18436581945895</t>
  </si>
  <si>
    <t>Reebok eau de toilette 100 ml. Move your spirit man.</t>
  </si>
  <si>
    <t>8436581945904</t>
  </si>
  <si>
    <t>18436581945901</t>
  </si>
  <si>
    <t>Reebok eau de toilette 100 ml. Move your spirit woman.</t>
  </si>
  <si>
    <t>8436581945874</t>
  </si>
  <si>
    <t>18436581945871</t>
  </si>
  <si>
    <t>Reebok eau de toilette tester 100 ml. Activate your senses man.</t>
  </si>
  <si>
    <t>8436611101577</t>
  </si>
  <si>
    <t>Reebok eau de toilette tester 100 ml. Activate your senses woman.</t>
  </si>
  <si>
    <t>8436611101560</t>
  </si>
  <si>
    <t>en, es, fr, pt.</t>
  </si>
  <si>
    <t>Reebok eau de toilette tester 100 ml. Cool your body man.</t>
  </si>
  <si>
    <t>8436581946468</t>
  </si>
  <si>
    <t>2160</t>
  </si>
  <si>
    <t>Reebok eau de toilette tester 100 ml. Cool your body woman.</t>
  </si>
  <si>
    <t>8436581946437</t>
  </si>
  <si>
    <t>Reebok eau de toilette tester 100 ml. Inspire your mind woman.</t>
  </si>
  <si>
    <t>8436581946444</t>
  </si>
  <si>
    <t>Reebok eau de toilette tester 100 ml. Move your spirit woman.</t>
  </si>
  <si>
    <t>8436581946420</t>
  </si>
  <si>
    <t>Reebok eau de toilette tester 100ml. Inspire your mind man.</t>
  </si>
  <si>
    <t>8436581946475</t>
  </si>
  <si>
    <t>Reebok eau de toilette tester 100ml. Move your spirit man.</t>
  </si>
  <si>
    <t>8436581946451</t>
  </si>
  <si>
    <t>Reebok gel 250 ml. Activate your body hombre.</t>
  </si>
  <si>
    <t>8436611101874</t>
  </si>
  <si>
    <t>18436611101871</t>
  </si>
  <si>
    <t>bg, bs, cn, cz, de, dk, en, es, fi, fr, el, hr, hu, it, nl, pl, pt, ro, ru, sa, se, si, sk, tr, th, kz.</t>
  </si>
  <si>
    <t>Reebok gel 250 ml. Activate your body mujer.</t>
  </si>
  <si>
    <t>8436611101867</t>
  </si>
  <si>
    <t>18436611101864</t>
  </si>
  <si>
    <t>bg, bs, cn, cz, de, dk, en, es, fi, fr, el, hr, hu, it, nl, pl, pt, ro, ru, sa, se, si, sk, tr, rh, kz.</t>
  </si>
  <si>
    <t>Reebok gel 250 ml. Cool your body man 4 in 1.</t>
  </si>
  <si>
    <t>8436581946093</t>
  </si>
  <si>
    <t>18436611102885</t>
  </si>
  <si>
    <t>bg, bs, zh, cz, de, da, en, es, fi, fr, el, hr, hu, it, nl, pl, pt, ro, ru, sa, se, si, sk, tr, rh, kz.</t>
  </si>
  <si>
    <t>Reebok gel 250 ml. Cool your body woman.</t>
  </si>
  <si>
    <t>8436581946062</t>
  </si>
  <si>
    <t>350</t>
  </si>
  <si>
    <t>18436581946069</t>
  </si>
  <si>
    <t>bg, bs, zh, cz, de, da, en, es, fi, fr, el, hr, hu, it, nl, pl, pt, ro, ru, ar, se, si, sk, tr, rh, kz.</t>
  </si>
  <si>
    <t>18436611102854</t>
  </si>
  <si>
    <t>Reebok gel 250 ml. inspire your mind man 4 in 1.</t>
  </si>
  <si>
    <t>8436581946109</t>
  </si>
  <si>
    <t>18436611102892</t>
  </si>
  <si>
    <t>Reebok gel 250 ml. Inspire your mind woman.</t>
  </si>
  <si>
    <t>8436581946079</t>
  </si>
  <si>
    <t>18436611102861</t>
  </si>
  <si>
    <t>Reebok gel 250 ml. Move your spirit man 4 in 1.</t>
  </si>
  <si>
    <t>8436581946086</t>
  </si>
  <si>
    <t>18436611102878</t>
  </si>
  <si>
    <t>Reebok gel 250 ml. Move your spirit woman.</t>
  </si>
  <si>
    <t>8436581946055</t>
  </si>
  <si>
    <t>18436611102847</t>
  </si>
  <si>
    <t>18436581946052</t>
  </si>
  <si>
    <t>Reebok gel 250 ml. Refresh sport man.</t>
  </si>
  <si>
    <t>8436611100976</t>
  </si>
  <si>
    <t>18436611100973</t>
  </si>
  <si>
    <t>Reebok gel 250 ml. Reload sport man.</t>
  </si>
  <si>
    <t>8436611100969</t>
  </si>
  <si>
    <t>18436611100966</t>
  </si>
  <si>
    <t>Reebok gel 400 ml. Activate your senses man 4 in 1.</t>
  </si>
  <si>
    <t>8436611101898</t>
  </si>
  <si>
    <t>18436611101895</t>
  </si>
  <si>
    <t>bg, bs, zh, cz, de, da, en, es, fi, fr, el, hr, hu, it, nl, pl, pt, ro, ru, ar, se, si, sk, tr, th, kz.</t>
  </si>
  <si>
    <t>Reebok gel 400 ml. Activate your senses woman.</t>
  </si>
  <si>
    <t>8436611101881</t>
  </si>
  <si>
    <t>18436611101888</t>
  </si>
  <si>
    <t>Reebok gel 400 ml. Cool your body man 4 in 1.</t>
  </si>
  <si>
    <t>8436581947786</t>
  </si>
  <si>
    <t>18436581947783</t>
  </si>
  <si>
    <t>bg, bs, cn, cz, de, da, en, es, fi, fr, el, hr, hu, it, nl, pl, pt, ro, ru, sa, se, si, sk, tr, th, kz.</t>
  </si>
  <si>
    <t>Reebok gel 400 ml. Cool your body woman.</t>
  </si>
  <si>
    <t>8436581947755</t>
  </si>
  <si>
    <t>18436581947752</t>
  </si>
  <si>
    <t>Reebok gel 400 ml. Inspire your mind man 4 in 1.</t>
  </si>
  <si>
    <t>8436581947793</t>
  </si>
  <si>
    <t>18436581947790</t>
  </si>
  <si>
    <t>Reebok gel 400 ml. Inspire your mind woman.</t>
  </si>
  <si>
    <t>8436581947762</t>
  </si>
  <si>
    <t>18436581947769</t>
  </si>
  <si>
    <t>Reebok gel 400 ml. Move your spirit man 4 in 1.</t>
  </si>
  <si>
    <t>8436581947779</t>
  </si>
  <si>
    <t>18436581947776</t>
  </si>
  <si>
    <t>Reebok gel 400 ml. Move your spirit woman.</t>
  </si>
  <si>
    <t>8436581947748</t>
  </si>
  <si>
    <t>18436581947745</t>
  </si>
  <si>
    <t>Reebok gel 400 ml. Refresh sport man.</t>
  </si>
  <si>
    <t>8436611102956</t>
  </si>
  <si>
    <t>18436611102953</t>
  </si>
  <si>
    <t>es, en, fr, da, pt, bg, bs, cn, cz, de, dk, fi, el, hr, hu, it, nl, pl, ro, ru, sa, se, si, sk, tr, th, kz.</t>
  </si>
  <si>
    <t>Reebok gel 400 ml. Reload sport man.</t>
  </si>
  <si>
    <t>8436611102949</t>
  </si>
  <si>
    <t>18436611102946</t>
  </si>
  <si>
    <t>Reebok gel 750 ml. Activate your body man.</t>
  </si>
  <si>
    <t>8436611106053</t>
  </si>
  <si>
    <t>18436611106050</t>
  </si>
  <si>
    <t>en, he, bs, cn, cz, de, dk, es, fi, fr, el, hr, hu, it, nl, pl, pt, ro, ru, ar, si, sk, tr, th, kz.</t>
  </si>
  <si>
    <t>Reebok gel 750 ml. Cool your body man 4 in 1.</t>
  </si>
  <si>
    <t>8436611106046</t>
  </si>
  <si>
    <t>18436611106043</t>
  </si>
  <si>
    <t>Reebok gel 750 ml. Move your spirit man 4 in 1.</t>
  </si>
  <si>
    <t>8436611106039</t>
  </si>
  <si>
    <t>18436611106036</t>
  </si>
  <si>
    <t>Reebok gel 750 ml. Refresh sport man.</t>
  </si>
  <si>
    <t>8436611106077</t>
  </si>
  <si>
    <t>18436611106074</t>
  </si>
  <si>
    <t>Reebok gel 750 ml. Reload sport men.</t>
  </si>
  <si>
    <t>8436611106060</t>
  </si>
  <si>
    <t>18436611106067</t>
  </si>
  <si>
    <t>Reebok pack gel 250 ml. + EDT 50 ml. Cool your body mujer.</t>
  </si>
  <si>
    <t>8436581946185</t>
  </si>
  <si>
    <t>18436581946182</t>
  </si>
  <si>
    <t>Reebok pack shower gel 250 ml. + EDT 100 ml.  Move your spirit man.</t>
  </si>
  <si>
    <t>8436611103892</t>
  </si>
  <si>
    <t>18436611103899</t>
  </si>
  <si>
    <t>Reebok pack shower gel 250 ml. + EDT 100 ml. 100 ml. Cool your body man.</t>
  </si>
  <si>
    <t>8436611103908</t>
  </si>
  <si>
    <t>18436611103905</t>
  </si>
  <si>
    <t>Reebok pack shower gel 250 ml. + EDT 100 ml. Activate your senses man.</t>
  </si>
  <si>
    <t>8436611101997</t>
  </si>
  <si>
    <t>18436611101994</t>
  </si>
  <si>
    <t>Reebok pack shower gel 250 ml. + EDT 100 ml. Activate your senses mujer.</t>
  </si>
  <si>
    <t>8436611101980</t>
  </si>
  <si>
    <t>18436611101987</t>
  </si>
  <si>
    <t>Reebok pack shower gel 250 ml. + EDT 100 ml. Inspire your mind woman.</t>
  </si>
  <si>
    <t>8436611102000</t>
  </si>
  <si>
    <t>18436611102007</t>
  </si>
  <si>
    <t>Reebok pack spray deodorant  150 ml + EDT 100 ml. Cool your body man.</t>
  </si>
  <si>
    <t>8436581946277</t>
  </si>
  <si>
    <t>18436581946274</t>
  </si>
  <si>
    <t>bg, bs, cn, cz, de, dk, en, es, fi, fr, el, hr, hu, it, nl, pl, pt, ro, ru, sa, se, sl, sk, tr, th, kz.</t>
  </si>
  <si>
    <t>Reebok pack spray deodorant 150 ml + EDT 100 ml. Activate your senses man.</t>
  </si>
  <si>
    <t>8436611101911</t>
  </si>
  <si>
    <t>18436611101918</t>
  </si>
  <si>
    <t>Reebok pack spray deodorant 150 ml + EDT 100 ml. Cool your body woman.</t>
  </si>
  <si>
    <t>8436581946246</t>
  </si>
  <si>
    <t>18436581946243</t>
  </si>
  <si>
    <t>Reebok pack spray deodorant 150 ml + EDT 100 ml. Move your spirit man.</t>
  </si>
  <si>
    <t>8436581946260</t>
  </si>
  <si>
    <t>18436581946267</t>
  </si>
  <si>
    <t>Reebok pack spray deodorant 150 ml + EDT 100 ml. Move your spirit woman.</t>
  </si>
  <si>
    <t>8436581946239</t>
  </si>
  <si>
    <t>18436581946236</t>
  </si>
  <si>
    <t>en, es, pt, de,fr, it, ar.</t>
  </si>
  <si>
    <t>Reebok roll-on deodorant 50 ml. Aloe vera woman.</t>
  </si>
  <si>
    <t>8436611100709</t>
  </si>
  <si>
    <t>18436611100706</t>
  </si>
  <si>
    <t>bg, bs, zh, cz, de, da, en, es, fi, fr, el, gr, he, hr, hu, it, nl, pl, pt, ro, ru, sa, se, sl, sk, uk.</t>
  </si>
  <si>
    <t>Reebok roll-on deodorant 50 ml. Maximum protection man.</t>
  </si>
  <si>
    <t>8436611100990</t>
  </si>
  <si>
    <t>18436611100997</t>
  </si>
  <si>
    <t>bg, bs, zh, de, da, en, es, fi, fr, el, he, hr, hu, it, nl, pl, pt, ro, ru, sa, se, sl, sv, uk.</t>
  </si>
  <si>
    <t>Reebok roll-on deodorant 50 ml. Sensitive skin woman.</t>
  </si>
  <si>
    <t>8436611100693</t>
  </si>
  <si>
    <t>18436611100690</t>
  </si>
  <si>
    <t>bg, bs, zh, cz, de, da, en, es, fi, fr, el, gr, he, hr, hu, it, nl, pl, pt, ro, ru, sa, se, sl, sk, u!k.</t>
  </si>
  <si>
    <t>Reebok spray deodorant 150 ml. Activate your senses man.</t>
  </si>
  <si>
    <t>8436611101850</t>
  </si>
  <si>
    <t>243</t>
  </si>
  <si>
    <t>18436611101857</t>
  </si>
  <si>
    <t>en, es, pt, fr, da, it, nl, ar.</t>
  </si>
  <si>
    <t>Reebok spray deodorant 150 ml. Activate your senses woman.</t>
  </si>
  <si>
    <t>8436611102239</t>
  </si>
  <si>
    <t>18436611102236</t>
  </si>
  <si>
    <t>en, es, pt, fr, da, it, ar, nl.</t>
  </si>
  <si>
    <t>Reebok spray deodorant 150 ml. Cool your body man.</t>
  </si>
  <si>
    <t>8436581946154</t>
  </si>
  <si>
    <t>11136581946154</t>
  </si>
  <si>
    <t>en, es, pt, fr, de, it, sv, ch, sk, pl, ar, nl.</t>
  </si>
  <si>
    <t>Reebok spray deodorant 150 ml. Cool your body woman.</t>
  </si>
  <si>
    <t>8436581946123</t>
  </si>
  <si>
    <t>18436581946120</t>
  </si>
  <si>
    <t>Reebok spray deodorant 150 ml. Inspire your mind man.</t>
  </si>
  <si>
    <t>8436581946161</t>
  </si>
  <si>
    <t>18436581946168</t>
  </si>
  <si>
    <t>18436611105411</t>
  </si>
  <si>
    <t>ar, en, es, pt, fr, de, it, nl, pl, cs.</t>
  </si>
  <si>
    <t>Reebok spray deodorant 150 ml. Inspire your mind woman.</t>
  </si>
  <si>
    <t>8436581946130</t>
  </si>
  <si>
    <t>512</t>
  </si>
  <si>
    <t>84365819461308</t>
  </si>
  <si>
    <t>en, es, pt, fr, de, it, nl, ar.</t>
  </si>
  <si>
    <t>18436581946137</t>
  </si>
  <si>
    <t>Reebok spray deodorant 150 ml. Move your spirit hombre.</t>
  </si>
  <si>
    <t>8436581946147</t>
  </si>
  <si>
    <t>11111843658194</t>
  </si>
  <si>
    <t>en, es, pt, fr, de, it, ar, nl, pl, cs.</t>
  </si>
  <si>
    <t>Reebok spray deodorant 150 ml. Move your spirit woman.</t>
  </si>
  <si>
    <t>8436581946116</t>
  </si>
  <si>
    <t>18436581946113</t>
  </si>
  <si>
    <t>84365819461162</t>
  </si>
  <si>
    <t>Reebok spray deodorant 150 ml. Refresh sport man.</t>
  </si>
  <si>
    <t>8436611100952</t>
  </si>
  <si>
    <t>18436611100958</t>
  </si>
  <si>
    <t>en, es, pt, fr, de, it, nl, ar, pl, cs.</t>
  </si>
  <si>
    <t>Reebok spray deodorant 150 ml. Reload sport man.</t>
  </si>
  <si>
    <t>8436611100945</t>
  </si>
  <si>
    <t>18436611102977</t>
  </si>
  <si>
    <t>ar, en, es, pt, fr, de, it, se, nl, pl, cs.</t>
  </si>
  <si>
    <t>Rexona deodorant roll-on 50 ml. Cobalt Dry.</t>
  </si>
  <si>
    <t>59095446</t>
  </si>
  <si>
    <t>08720181272523</t>
  </si>
  <si>
    <t>be, fr, nl, de, se, dk, no, fi, es, pt.</t>
  </si>
  <si>
    <t>Rexona deodorant roll-on 50 ml. Cotton Dry.</t>
  </si>
  <si>
    <t>59095545</t>
  </si>
  <si>
    <t>08720181272929</t>
  </si>
  <si>
    <t>Rexona deodorant roll-on 50 ml. Tropical.</t>
  </si>
  <si>
    <t>59095569</t>
  </si>
  <si>
    <t>08720181274596</t>
  </si>
  <si>
    <t>be, fr, nl, de, se, dk, no, si, es, pt.</t>
  </si>
  <si>
    <t>Rexona deodorant spray 200 ml. Invisible anti-stain.</t>
  </si>
  <si>
    <t>8710447492208</t>
  </si>
  <si>
    <t>320</t>
  </si>
  <si>
    <t>08710447492383</t>
  </si>
  <si>
    <t>Rexona deodorant spray 200 ml. Men Cobalt Dry.</t>
  </si>
  <si>
    <t>8710447493861</t>
  </si>
  <si>
    <t>08710447494073</t>
  </si>
  <si>
    <t>Rexona deodorant spray 200 ml. Men Invisible Ice fresh.</t>
  </si>
  <si>
    <t>8710447493885</t>
  </si>
  <si>
    <t>08710447494110</t>
  </si>
  <si>
    <t>Rexona deodorant spray 2X200 ml. Aloe Vera.</t>
  </si>
  <si>
    <t>8720182628497</t>
  </si>
  <si>
    <t>08720182628503</t>
  </si>
  <si>
    <t>Rexona stick deodorant 45 ml. Men máxima protección sport.</t>
  </si>
  <si>
    <t>8710847920431</t>
  </si>
  <si>
    <t>473</t>
  </si>
  <si>
    <t>08710847920479</t>
  </si>
  <si>
    <t>fr, be, nl, es, pl, cz, sk.</t>
  </si>
  <si>
    <t>Rexona stick deodorant 45 ml. Men maximum protection.</t>
  </si>
  <si>
    <t>8718114202402</t>
  </si>
  <si>
    <t>08718114202617</t>
  </si>
  <si>
    <t>fr, be, nl, es, sv, dk, no, fn, pl, cz, sk.</t>
  </si>
  <si>
    <t>Rexona stick deodorant 45 ml. Woman maximum protection clean scent.</t>
  </si>
  <si>
    <t>8718114202372</t>
  </si>
  <si>
    <t>08712561519311</t>
  </si>
  <si>
    <t>be, nl, es, pt, sv, dk, fn, no.</t>
  </si>
  <si>
    <t>Rexona stick deodorant 45 ml. Woman maximum protection confidence.</t>
  </si>
  <si>
    <t>8711600504141</t>
  </si>
  <si>
    <t>08712561723442</t>
  </si>
  <si>
    <t>be, nl, es, pt, s, dk, no fn.</t>
  </si>
  <si>
    <t>Rexona stick deodorant 45 ml. Woman maximum protection stress control.</t>
  </si>
  <si>
    <t>8712561521840</t>
  </si>
  <si>
    <t>08712561521673</t>
  </si>
  <si>
    <t>be, nl, es, pt, s, dk, fn, pl.</t>
  </si>
  <si>
    <t>S'nonas health gel 100 ml. Tube.</t>
  </si>
  <si>
    <t>8410757101394</t>
  </si>
  <si>
    <t>98410757101397</t>
  </si>
  <si>
    <t>es, pt, en, fr, el.</t>
  </si>
  <si>
    <t>Sany Care sanitary gel 500 ml. Aloe Vera.</t>
  </si>
  <si>
    <t>8012442002391</t>
  </si>
  <si>
    <t>06305206341863</t>
  </si>
  <si>
    <t>Sanytol 1.200 ml. Household cleaner eucaliptus.</t>
  </si>
  <si>
    <t>8411660170132</t>
  </si>
  <si>
    <t>09/2029</t>
  </si>
  <si>
    <t>18411660170139</t>
  </si>
  <si>
    <t>Sanytol 750 ml. Bath mold prevention.</t>
  </si>
  <si>
    <t>8411660170224</t>
  </si>
  <si>
    <t>06/2029</t>
  </si>
  <si>
    <t>18411660172225</t>
  </si>
  <si>
    <t>Sanytol 750 ml. Kitchen grease remover citric.</t>
  </si>
  <si>
    <t>8411660170217</t>
  </si>
  <si>
    <t>18411660170214</t>
  </si>
  <si>
    <t>Sanytol 750 ml. Multipurpose apple.</t>
  </si>
  <si>
    <t>8411660170439</t>
  </si>
  <si>
    <t>18411660170436</t>
  </si>
  <si>
    <t>Sanytol 750 ml. Multipurpose eucalyptus.</t>
  </si>
  <si>
    <t>8411660170231</t>
  </si>
  <si>
    <t>18411660172232</t>
  </si>
  <si>
    <t>Scotch Brite scourer 2+1 u. Classic.</t>
  </si>
  <si>
    <t>8410001134932</t>
  </si>
  <si>
    <t>68410001134934</t>
  </si>
  <si>
    <t>es, pt, it, de ,fr, nl, fi, se, no, ch, at, be, dk.</t>
  </si>
  <si>
    <t>Skip detergent Iin tabs 22 u. Ultimate KH7.</t>
  </si>
  <si>
    <t>8720182417558</t>
  </si>
  <si>
    <t>08720182417916</t>
  </si>
  <si>
    <t>Skip detergent in tabs 36 u. Ultimate 3 in 1 maximum efficiency.</t>
  </si>
  <si>
    <t>8720182417619</t>
  </si>
  <si>
    <t>08720182418036</t>
  </si>
  <si>
    <t>Skip detergent in tabs 46 u. Ultimate 3 in 1 maximum efficiency.</t>
  </si>
  <si>
    <t>8720182417633</t>
  </si>
  <si>
    <t>08720182418098</t>
  </si>
  <si>
    <t>Skip detergent liquid 33 dose 1485 ml. Ultimate Mimosin.</t>
  </si>
  <si>
    <t>8720181438233</t>
  </si>
  <si>
    <t>08720181438295</t>
  </si>
  <si>
    <t>Skip liquid detergent 100 dose 4.5 l. Deep cleaning.</t>
  </si>
  <si>
    <t>8720181413339</t>
  </si>
  <si>
    <t>08720181413469</t>
  </si>
  <si>
    <t>Skip liquid detergent 35 dose 1,575 l. Deep cleaning.</t>
  </si>
  <si>
    <t>8720181431340</t>
  </si>
  <si>
    <t>08720181431364</t>
  </si>
  <si>
    <t>Skip liquid detergent 45 dose 2025 ml. Ultimate maximum efficiency.</t>
  </si>
  <si>
    <t>8720181417962</t>
  </si>
  <si>
    <t>08720181418020</t>
  </si>
  <si>
    <t>Skip powder detergent 35 dose 1,750 kg. Deep Cleaning.</t>
  </si>
  <si>
    <t>8720181407314</t>
  </si>
  <si>
    <t>08720181407390</t>
  </si>
  <si>
    <t>Spiderman shampoo &amp; gel 500 ml.</t>
  </si>
  <si>
    <t>8411114094427</t>
  </si>
  <si>
    <t>18411114094424</t>
  </si>
  <si>
    <t>Stitch shampoo &amp; gel 500 ml.</t>
  </si>
  <si>
    <t>8411114095653</t>
  </si>
  <si>
    <t>18411114095650</t>
  </si>
  <si>
    <t>Tampax compak 18 u. 2 in 1 regular.</t>
  </si>
  <si>
    <t>8001090705600</t>
  </si>
  <si>
    <t>06/2030</t>
  </si>
  <si>
    <t>286</t>
  </si>
  <si>
    <t>08001090705594</t>
  </si>
  <si>
    <t>uk, ie, nl, dk, fi, no, se, fi.</t>
  </si>
  <si>
    <t>Tampax compak 18 u. Super plus.</t>
  </si>
  <si>
    <t>08/2030</t>
  </si>
  <si>
    <t>en, nl, be, lu, de, at, ch, es, pt, dk, no, se, fi, fr, tr.</t>
  </si>
  <si>
    <t>8001090705723</t>
  </si>
  <si>
    <t>07/2030</t>
  </si>
  <si>
    <t>187</t>
  </si>
  <si>
    <t>08001090705716</t>
  </si>
  <si>
    <t>en, nl, dk, no, se, fi.</t>
  </si>
  <si>
    <t>Tampax compak 18 u. Super.</t>
  </si>
  <si>
    <t>8001090705662</t>
  </si>
  <si>
    <t>03/2030</t>
  </si>
  <si>
    <t>220</t>
  </si>
  <si>
    <t>80010907056624</t>
  </si>
  <si>
    <t>en, es, fr, pt, nl, de, it, no, dk, se, fi.</t>
  </si>
  <si>
    <t>Tampax compak 24 u. Regular.</t>
  </si>
  <si>
    <t>8006540463147</t>
  </si>
  <si>
    <t>04/2030</t>
  </si>
  <si>
    <t>08006540463130</t>
  </si>
  <si>
    <t>es, pt, en, nl, be, lu, de, at, ch, dk, no, se, fi, fr, tr,</t>
  </si>
  <si>
    <t>Tampax compak 26 u. Super plus 2 in 1.</t>
  </si>
  <si>
    <t>8006540468173</t>
  </si>
  <si>
    <t>08006530204217</t>
  </si>
  <si>
    <t>Tampax compak 26 u. Super plus.</t>
  </si>
  <si>
    <t>02/2030</t>
  </si>
  <si>
    <t>08006540468166</t>
  </si>
  <si>
    <t>en, es, pt, fr, nl, de, it, da, fi.</t>
  </si>
  <si>
    <t>Tampax compak 2X27 u. Regular.</t>
  </si>
  <si>
    <t>8006540463208</t>
  </si>
  <si>
    <t>01/2030</t>
  </si>
  <si>
    <t>08006540463192</t>
  </si>
  <si>
    <t>en, es, fr, be, lu, pt, nl, be, ie.</t>
  </si>
  <si>
    <t>Tampax non plastic. 20 u. Regular.</t>
  </si>
  <si>
    <t>8700216012317</t>
  </si>
  <si>
    <t>05/2030</t>
  </si>
  <si>
    <t>08700216012300</t>
  </si>
  <si>
    <t>en, fr, be, lu, ch, nl, es, pt, at, de, se, fi, no, dk.</t>
  </si>
  <si>
    <t>Tampax pearl 18 u. Super plus 3 in 1.</t>
  </si>
  <si>
    <t>4015400434788</t>
  </si>
  <si>
    <t>40154004347888</t>
  </si>
  <si>
    <t>en, es, pt, nl, be, de, at, ch, dk, no, se, fi, fr.</t>
  </si>
  <si>
    <t>Tesori d'oriente concentrated softener 38 dose 760 ml. Amla &amp; Patchouli.</t>
  </si>
  <si>
    <t>8008970055244</t>
  </si>
  <si>
    <t>08008970408712</t>
  </si>
  <si>
    <t>Tesori d'oriente concentrated softener 38 dose 760 ml. Argan &amp; orange flower.</t>
  </si>
  <si>
    <t>8008970055213</t>
  </si>
  <si>
    <t>08008970408682</t>
  </si>
  <si>
    <t>Tesori d'oriente concentrated softener 38 dose 760 ml. Persian dream pomegranate &amp; red tea.</t>
  </si>
  <si>
    <t>8008970055268</t>
  </si>
  <si>
    <t>08008970408736</t>
  </si>
  <si>
    <t>Tesori d'oriente concentrated softener 38 dose 760 ml. Thalasso theraphy seaweed.</t>
  </si>
  <si>
    <t>8008970055251</t>
  </si>
  <si>
    <t>08008970408729</t>
  </si>
  <si>
    <t>Tesori d'oriente concentrated softener 38 dose 760 ml. Vanilla &amp; ginger aromatic.</t>
  </si>
  <si>
    <t>8008970060743</t>
  </si>
  <si>
    <t>08008970120652</t>
  </si>
  <si>
    <t>Tesori d'oriente concentrated softener 38 dose 760 ml. White musk.</t>
  </si>
  <si>
    <t>8008970055206</t>
  </si>
  <si>
    <t>08008970408675</t>
  </si>
  <si>
    <t>Toshiba battery 1 u. Carbon Zinc 6F22 9 V.</t>
  </si>
  <si>
    <t>4904530587740</t>
  </si>
  <si>
    <t>24904530587744</t>
  </si>
  <si>
    <t>en, fr, de, es, it, pt, ru, sv, pl, cz, al, el, bg, sr, ro, uk, sk, ar.</t>
  </si>
  <si>
    <t>4904530126109</t>
  </si>
  <si>
    <t>24904530126103</t>
  </si>
  <si>
    <t>Toshiba battery 1 u. Carbon Zinc 6F22 9 V. Minibox.</t>
  </si>
  <si>
    <t>09/2099</t>
  </si>
  <si>
    <t>2600</t>
  </si>
  <si>
    <t>14904530587747</t>
  </si>
  <si>
    <t>Toshiba battery 1 u. Lithium button CR2016. Minibox.</t>
  </si>
  <si>
    <t>4904530108044</t>
  </si>
  <si>
    <t>02/2029</t>
  </si>
  <si>
    <t>2080</t>
  </si>
  <si>
    <t>14904530108041</t>
  </si>
  <si>
    <t>en, fr, es.</t>
  </si>
  <si>
    <t>Toshiba battery 1 u. Lithium button CR2025. Minibox.</t>
  </si>
  <si>
    <t>4904530108051</t>
  </si>
  <si>
    <t>14904530108058</t>
  </si>
  <si>
    <t>Toshiba battery 1 u. Lithium button CR2032 . Minibox.</t>
  </si>
  <si>
    <t>4904530108068</t>
  </si>
  <si>
    <t>14904530108065</t>
  </si>
  <si>
    <t>Toshiba battery 12 u. AA alcaline high power LR6 15V minibox.</t>
  </si>
  <si>
    <t>4904530593260</t>
  </si>
  <si>
    <t>01/2033</t>
  </si>
  <si>
    <t>49045305932600</t>
  </si>
  <si>
    <t>en, el, ro, pl, bg.</t>
  </si>
  <si>
    <t>Toshiba battery 12 u. AA alcaline high power LR6 15V.</t>
  </si>
  <si>
    <t>24904530593264</t>
  </si>
  <si>
    <t>en, ro, pl, bg, el.</t>
  </si>
  <si>
    <t>Toshiba battery 2 u. Carbón Zinc C R14 1.5 V.</t>
  </si>
  <si>
    <t>4904530126062</t>
  </si>
  <si>
    <t>24904530126066</t>
  </si>
  <si>
    <t>Toshiba battery 2 u. Carbon Zinc C R14 1.5 V. Minibox.</t>
  </si>
  <si>
    <t>4904530587702</t>
  </si>
  <si>
    <t>2200</t>
  </si>
  <si>
    <t>14904530587709</t>
  </si>
  <si>
    <t>Toshiba battery 2 u. D Carbon Zinc R20KE 1.5 V.</t>
  </si>
  <si>
    <t>4904530126055</t>
  </si>
  <si>
    <t>24904530126059</t>
  </si>
  <si>
    <t>Toshiba battery 2 u. D Carbon Zinc R20KE 1.5 V. Minibox.</t>
  </si>
  <si>
    <t>1800</t>
  </si>
  <si>
    <t>14904530126052</t>
  </si>
  <si>
    <t>Toshiba battery 4 u. AA alcaline LR6.</t>
  </si>
  <si>
    <t>4904530594908</t>
  </si>
  <si>
    <t>24904530594902</t>
  </si>
  <si>
    <t>en, fr, de, es, it, pt, ru, fi, sv, bg, hu, sr, ro, uk, pl, el, tr, no, da, nl, tl, th, my, ar.</t>
  </si>
  <si>
    <t>Toshiba battery 4 u. AA alcaline LR6. Minibox.</t>
  </si>
  <si>
    <t>14904530594905</t>
  </si>
  <si>
    <t>en, fr, de, es, it, pt, ru, fi, sv, bg, hu, sr, ro, uk, el, tr, no, da, nl, tl, th, my, ar.</t>
  </si>
  <si>
    <t>Toshiba battery 4 u. AAA alcaline LR03.</t>
  </si>
  <si>
    <t>4904530594922</t>
  </si>
  <si>
    <t>24904530594926</t>
  </si>
  <si>
    <t>Toshiba battery 4 u. AAA alcaline LR03. Minibox.</t>
  </si>
  <si>
    <t>14904530594929</t>
  </si>
  <si>
    <t>Tresemme conditioner 685 ml. Smooth keratin with Marula oil.</t>
  </si>
  <si>
    <t>8710522632659</t>
  </si>
  <si>
    <t>08710522633212</t>
  </si>
  <si>
    <t>Tresemme mask 440 ml. Moisturizer with argan oil.</t>
  </si>
  <si>
    <t>8720181239168</t>
  </si>
  <si>
    <t>08720181239175</t>
  </si>
  <si>
    <t>Tresemmé mask 440 ml. Smooth &amp; Keratin.</t>
  </si>
  <si>
    <t>8720181238406</t>
  </si>
  <si>
    <t>08720181238468</t>
  </si>
  <si>
    <t>Tresemme shampoo 685 ml. Classic care.</t>
  </si>
  <si>
    <t>8720181435324</t>
  </si>
  <si>
    <t>08720181435645</t>
  </si>
  <si>
    <t>Tresemme shampoo 685 ml. Curls waves and curls coconut oil.</t>
  </si>
  <si>
    <t>8720181435317</t>
  </si>
  <si>
    <t>08720181435621</t>
  </si>
  <si>
    <t>Tresemme shampoo 685 ml. Intense hydration, vitamin E &amp; ceramides.</t>
  </si>
  <si>
    <t>8720181435256</t>
  </si>
  <si>
    <t>08720181435522</t>
  </si>
  <si>
    <t>Tresemme shampoo 685 ml. Shine ultra gloss.</t>
  </si>
  <si>
    <t>8720181528804</t>
  </si>
  <si>
    <t>08720181528859</t>
  </si>
  <si>
    <t>Tresemme shampoo 685 ml. Smooth &amp; silky.</t>
  </si>
  <si>
    <t>8720181435270</t>
  </si>
  <si>
    <t>08720181435560</t>
  </si>
  <si>
    <t>Tresemmé shampoo 685 ml. Smooth keratin.</t>
  </si>
  <si>
    <t>8710522632666</t>
  </si>
  <si>
    <t>08710522635230</t>
  </si>
  <si>
    <t>Vanish oxi action 750 gr. Pink.</t>
  </si>
  <si>
    <t>5059001002785</t>
  </si>
  <si>
    <t>05059001503596</t>
  </si>
  <si>
    <t>Vanish Oxi Action gel 1,8 l. Stain remover white.</t>
  </si>
  <si>
    <t>8410104893415</t>
  </si>
  <si>
    <t>28410104893419</t>
  </si>
  <si>
    <t>Vanish oxi action gel 1.800 ml. Stain remover pink.</t>
  </si>
  <si>
    <t>8410104893392</t>
  </si>
  <si>
    <t>28410104893396</t>
  </si>
  <si>
    <t>Vanish Oxi Action gel 1500 ml. Stain remover white.</t>
  </si>
  <si>
    <t>8410104895495</t>
  </si>
  <si>
    <t>38410104895496</t>
  </si>
  <si>
    <t>Vanish Oxi Action stain remover spray 750 ml. Pink.</t>
  </si>
  <si>
    <t>8410104898281</t>
  </si>
  <si>
    <t>18410104898288</t>
  </si>
  <si>
    <t>Vanish Oxi Action stain remover spray 750 ml. White.</t>
  </si>
  <si>
    <t>8410104898496</t>
  </si>
  <si>
    <t>18410104898493</t>
  </si>
  <si>
    <t>Vanish quitamanchas 200 ml power gel.</t>
  </si>
  <si>
    <t>8410104402501</t>
  </si>
  <si>
    <t>18410104402508</t>
  </si>
  <si>
    <t>Vernel concentrated softener 60 dose 1,08 l. Delicte.</t>
  </si>
  <si>
    <t>8410436480451</t>
  </si>
  <si>
    <t>08410436480468</t>
  </si>
  <si>
    <t>Vernel concentrated softener 60 dose 1,080 l. Aromaterapy coconut.</t>
  </si>
  <si>
    <t>8410436480390</t>
  </si>
  <si>
    <t>08410436480406</t>
  </si>
  <si>
    <t>Vernel concentrated softener 60 dose 1,080 l. Aromaterapy Irresistible lily.</t>
  </si>
  <si>
    <t>8410436480512</t>
  </si>
  <si>
    <t>08410436480529</t>
  </si>
  <si>
    <t>Vernel concentrated softener 60 dose 1,080 l. Blue sky.</t>
  </si>
  <si>
    <t>8410436441230</t>
  </si>
  <si>
    <t>08410436441247</t>
  </si>
  <si>
    <t>Vernel concentrated softener 60 dose 1,080 l. Marine freshness.</t>
  </si>
  <si>
    <t>8410436480420</t>
  </si>
  <si>
    <t>08410436480437</t>
  </si>
  <si>
    <t>Vernel concentrated softener 60 dose 1.080 l. Aromatherapy peony &amp; white tea.</t>
  </si>
  <si>
    <t>8410436480482</t>
  </si>
  <si>
    <t>08410436480499</t>
  </si>
  <si>
    <t>Vernel concentrated softener 70 dose 1,260 l. Aromatherapy coconut.</t>
  </si>
  <si>
    <t>8410436442053</t>
  </si>
  <si>
    <t>08410436442060</t>
  </si>
  <si>
    <t>Vernel concentrated softener 70 dose 1,260 l. Delicate.</t>
  </si>
  <si>
    <t>8410436441858</t>
  </si>
  <si>
    <t>08410436441865</t>
  </si>
  <si>
    <t>Vileda all purpose cloth 1 + 1 u. Microfibers.</t>
  </si>
  <si>
    <t>8410435003019</t>
  </si>
  <si>
    <t>34023103171467</t>
  </si>
  <si>
    <t>Vileda all purpose cloth 2 u. Actifibre soft.</t>
  </si>
  <si>
    <t>4023103240810</t>
  </si>
  <si>
    <t>04023103240803</t>
  </si>
  <si>
    <t>en, de, es, pt, it, fr, nl, dk, no, tr, el, pl, ar.</t>
  </si>
  <si>
    <t>Vileda all purpose cloth 2+1. Yellow odor stop.</t>
  </si>
  <si>
    <t>8410435207578</t>
  </si>
  <si>
    <t>18410435207575</t>
  </si>
  <si>
    <t>Vileda all purpose cloth 3 u. Yellow.</t>
  </si>
  <si>
    <t>4023103225312</t>
  </si>
  <si>
    <t>04023103225305</t>
  </si>
  <si>
    <t>es, pt, de.</t>
  </si>
  <si>
    <t>Vileda all purpose cloth microfiber 4 u. Colors.</t>
  </si>
  <si>
    <t>4023103192577</t>
  </si>
  <si>
    <t>04023103192560</t>
  </si>
  <si>
    <t>en, it, de, fr, nl, es, pt, el, tr, cz, sk, hu, bg, ro, hr, si, rs, ee, lt, lv, ru, ar.</t>
  </si>
  <si>
    <t>Vileda cleaning bucket 5 X 10 L. Very easy.</t>
  </si>
  <si>
    <t>5601873131607</t>
  </si>
  <si>
    <t>34023103130945</t>
  </si>
  <si>
    <t>Vileda cleaning set 2 in 1. Ultramax.</t>
  </si>
  <si>
    <t>4023103143890</t>
  </si>
  <si>
    <t>34023103153180</t>
  </si>
  <si>
    <t>en, de, fr, nl, it, es, pt, se, fi, dk, no, pl, cz, sk, hu, ro, bg, si, hr, rs, ba, el, tr, ru, lt, lv, ee, ar.</t>
  </si>
  <si>
    <t>Vileda gloves 1 u. Size L sensitive.</t>
  </si>
  <si>
    <t>4023103254589</t>
  </si>
  <si>
    <t>04023103254558</t>
  </si>
  <si>
    <t>en, de, fr, nl, it, es, pt, el, se, dk, no, fi, pl, hu, bg, ro, cz, sk, si, rs, hr, lt, lv, ee, ar.</t>
  </si>
  <si>
    <t>Vileda gloves 1 u. Size M sensitive.</t>
  </si>
  <si>
    <t>4023103254572</t>
  </si>
  <si>
    <t>04023103254541</t>
  </si>
  <si>
    <t>en, de, fr, nl, it, es, pt, el, se, dk, no, fi, pl, hu, bg, ro, cz, sk, hr, si, rs, lt, ee, ar.</t>
  </si>
  <si>
    <t>Vileda gloves 1 u. Size S extra sensation.</t>
  </si>
  <si>
    <t>4023103254565</t>
  </si>
  <si>
    <t>04023103254534</t>
  </si>
  <si>
    <t>en, de, fr, nl, it, es, pt, el, se, dk, no, fi, pl, hu, bg, ro, cz, sk, si, rs, lt, lv, ee, ar.</t>
  </si>
  <si>
    <t>Vileda gloves 50 u. Nitrilo size S/M colors.</t>
  </si>
  <si>
    <t>4023103200791</t>
  </si>
  <si>
    <t>04023103200777</t>
  </si>
  <si>
    <t>en, de, fr, be, nl, es, pt, se, fi, dk, no, el, pl, cz, sk, hu, bg, ro, hr, sr, et, lt, lv, ru, hk, ar.</t>
  </si>
  <si>
    <t>Vileda gloves 50 u. nitrilo talla M/L colors.</t>
  </si>
  <si>
    <t>4023103200814</t>
  </si>
  <si>
    <t>04023103200784</t>
  </si>
  <si>
    <t>Vileda microfibre mop 1u. Yellow soft.</t>
  </si>
  <si>
    <t>8410435011076</t>
  </si>
  <si>
    <t>Vileda mop 1 u. Style pink.</t>
  </si>
  <si>
    <t>4023103138476</t>
  </si>
  <si>
    <t>34023103139511</t>
  </si>
  <si>
    <t>Vileda mop refill 1 u. 1-2 spray max.</t>
  </si>
  <si>
    <t>4023103199217</t>
  </si>
  <si>
    <t>04023103199194</t>
  </si>
  <si>
    <t>de, it, es, pt, fr, nl, pl, cz, sk, el, ro, bg, lt, lv, ee, hr, si, rs.</t>
  </si>
  <si>
    <t>Vileda mop refill 1 u. Ultramax 2 in 1 microfiber.</t>
  </si>
  <si>
    <t>4023103201262</t>
  </si>
  <si>
    <t>186</t>
  </si>
  <si>
    <t>04023103201255</t>
  </si>
  <si>
    <t>de, en, fr, be, nl, it, es, pt, se, fi, dk, no, pl, cz, sk, hu, ro, bg, si, hr, rs, el, tr, ru, lt, lv, ee.</t>
  </si>
  <si>
    <t>Vileda mop set 1 u. 1-2-spray max.</t>
  </si>
  <si>
    <t>4023103199200</t>
  </si>
  <si>
    <t>23</t>
  </si>
  <si>
    <t>04023103199170</t>
  </si>
  <si>
    <t>en, de, it, es, pt, fr, nl, pl, hu, cz, sk, el, ro, bg, lt, lv, ee, hr, si, rs.</t>
  </si>
  <si>
    <t>Vileda scourer 10 u. Rainbow.</t>
  </si>
  <si>
    <t>4023103242944</t>
  </si>
  <si>
    <t>10/2099</t>
  </si>
  <si>
    <t>04023103242937</t>
  </si>
  <si>
    <t>en, fr, nl, es, pt, it, se, fi, dk, no, hu, pl, cz, sk, de, el, hr, ro, bg, si, lt, ee, rs, lv, ar.</t>
  </si>
  <si>
    <t>Vileda scourer 2+1. Nail protect ultra fresh.</t>
  </si>
  <si>
    <t>4023103216334</t>
  </si>
  <si>
    <t>04023103216327</t>
  </si>
  <si>
    <t>es, pt, hu, cz, sk, en, ar.</t>
  </si>
  <si>
    <t>Vileda scourer 3+2 u. Tip Top.</t>
  </si>
  <si>
    <t>4023103242920</t>
  </si>
  <si>
    <t>04023103242913</t>
  </si>
  <si>
    <t>hu, pl, cz, sk, bg, ro, es, pt, el, de.</t>
  </si>
  <si>
    <t>Vileda turbo mop Easywring refill 1 u. 2 in 1 microfiber.</t>
  </si>
  <si>
    <t>4023103195189</t>
  </si>
  <si>
    <t>04023103195172</t>
  </si>
  <si>
    <t>en, it, de, fr, nl, se, fi, dk, no, es, el, tr, pl, hu, cz, hr, si, ru, ee, ro, rs, bg, lv, ar.</t>
  </si>
  <si>
    <t>Vileda turbo mop Easywring refill 1 u. Microfiber.</t>
  </si>
  <si>
    <t>4023103156487</t>
  </si>
  <si>
    <t>34023103151513</t>
  </si>
  <si>
    <t>en, it, de, fr, nl, pl, fi, da, es, pt, el, tu, pl, hu, cs, sk, ru, ro, ar.</t>
  </si>
  <si>
    <t>Vileda Turbo Smart Mop cleaning set + bucket with wringer 1 u.</t>
  </si>
  <si>
    <t>4023103208476</t>
  </si>
  <si>
    <t>04023103208476</t>
  </si>
  <si>
    <t>gb, it, de, fr, nl, be, se, fi, dk, no, es, pt, el, tr, pl, hu, cz, sk, hr, ba, si, ee, ro, rs, bg, lt, lv, ar.</t>
  </si>
  <si>
    <t>Woolite liquid detergent 30 dose. 1,65 L. Colors.</t>
  </si>
  <si>
    <t>5601217126382</t>
  </si>
  <si>
    <t>15601217132199</t>
  </si>
  <si>
    <t>PRICE EXW VALLMOLL</t>
  </si>
  <si>
    <t>picture</t>
  </si>
  <si>
    <t xml:space="preserve">click </t>
  </si>
  <si>
    <t>here</t>
  </si>
  <si>
    <t>stock</t>
  </si>
  <si>
    <t>pieces</t>
  </si>
  <si>
    <t>available</t>
  </si>
  <si>
    <t>Skip liquid detergent 85+85 dose 2X3,825 l.</t>
  </si>
  <si>
    <t>8720181413285</t>
  </si>
  <si>
    <t>Garnier Fructis shampoo 250 ml. Anti-dandruff citrus detox.</t>
  </si>
  <si>
    <t>3600542543200</t>
  </si>
  <si>
    <t>03600542546249</t>
  </si>
  <si>
    <t>Garnier Fructis shampoo 250 ml. Color resist.</t>
  </si>
  <si>
    <t>3600542543415</t>
  </si>
  <si>
    <t>03600542546454</t>
  </si>
  <si>
    <t>Garnier Fructis shampoo 250 ml. Fresh cucumber.</t>
  </si>
  <si>
    <t>3600542543446</t>
  </si>
  <si>
    <t>03600542546485</t>
  </si>
  <si>
    <t>Garnier Fructis shampoo 250 ml. Hydra bomb aloe vera.</t>
  </si>
  <si>
    <t>3600542543439</t>
  </si>
  <si>
    <t>03600542545853</t>
  </si>
  <si>
    <t>Garnier Fructis shampoo 250 ml. Pure coconut water.</t>
  </si>
  <si>
    <t>3600542543606</t>
  </si>
  <si>
    <t>03600542545976</t>
  </si>
  <si>
    <t>Garnier Fructis shampoo 250 ml. Repair &amp; strengthen.</t>
  </si>
  <si>
    <t>3600542602051</t>
  </si>
  <si>
    <t>03600542608299</t>
  </si>
  <si>
    <t>Garnier Fructis shampoo 250 ml. Strenght &amp; brightness.</t>
  </si>
  <si>
    <t>3600542543224</t>
  </si>
  <si>
    <t>03600542545709</t>
  </si>
  <si>
    <t>Garnier Fructis shampoo 250 ml. Strength regenerator.</t>
  </si>
  <si>
    <t>3600542543477</t>
  </si>
  <si>
    <t>03600542546546</t>
  </si>
  <si>
    <t>Woolite liquid detergent 25 dose. 750 ml. Keratine delicate clothing.</t>
  </si>
  <si>
    <t>5601217131317</t>
  </si>
  <si>
    <t>15601217132366</t>
  </si>
  <si>
    <t>Woolite liquid detergent 30 dose 1,65 L. Dark clothes and jeans.</t>
  </si>
  <si>
    <t>5601217126399</t>
  </si>
  <si>
    <t>15601217132205</t>
  </si>
  <si>
    <t>Signal toothpaste 100 ml. Cavity protection.</t>
  </si>
  <si>
    <t>8934839126896</t>
  </si>
  <si>
    <t>18934839126893</t>
  </si>
  <si>
    <t>Signal toothpaste 100 ml. Green tea.</t>
  </si>
  <si>
    <t>8934839126902</t>
  </si>
  <si>
    <t>18934839126909</t>
  </si>
  <si>
    <t>Nivea shower gel 250 ml. Orange &amp; care.</t>
  </si>
  <si>
    <t>4005900939746</t>
  </si>
  <si>
    <t>4005900939760</t>
  </si>
  <si>
    <t>de, fr.</t>
  </si>
  <si>
    <t>Listing products 040426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</si>
</sst>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#"/>
    <numFmt numFmtId="166" formatCode="_-* #,##0.00\ [$€-40C]_-;\-* #,##0.00\ [$€-40C]_-;_-* &quot;-&quot;??\ [$€-40C]_-;_-@_-"/>
  </numFmts>
  <fonts count="8" x14ac:knownFonts="1">
    <font>
      <sz val="11"/>
      <name val="Calibri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</font>
    <font>
      <b/>
      <i/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CCFF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164" fontId="3" fillId="0" borderId="0" xfId="1"/>
    <xf numFmtId="0" fontId="0" fillId="3" borderId="0" xfId="0" applyFill="1"/>
    <xf numFmtId="0" fontId="5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4" fillId="2" borderId="0" xfId="2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2" applyFont="1" applyFill="1" applyAlignment="1">
      <alignment horizontal="center"/>
    </xf>
    <xf numFmtId="164" fontId="4" fillId="0" borderId="0" xfId="1" applyFont="1" applyAlignment="1">
      <alignment horizontal="center"/>
    </xf>
    <xf numFmtId="3" fontId="4" fillId="2" borderId="0" xfId="2" applyNumberFormat="1" applyFont="1" applyFill="1" applyAlignment="1">
      <alignment horizontal="center"/>
    </xf>
    <xf numFmtId="165" fontId="4" fillId="4" borderId="0" xfId="2" applyNumberFormat="1" applyFont="1" applyFill="1" applyAlignment="1">
      <alignment horizontal="center"/>
    </xf>
    <xf numFmtId="165" fontId="4" fillId="2" borderId="0" xfId="2" applyNumberFormat="1" applyFont="1" applyFill="1" applyAlignment="1">
      <alignment horizontal="center"/>
    </xf>
    <xf numFmtId="166" fontId="5" fillId="3" borderId="0" xfId="0" applyNumberFormat="1" applyFont="1" applyFill="1" applyAlignment="1">
      <alignment horizontal="center"/>
    </xf>
    <xf numFmtId="166" fontId="4" fillId="3" borderId="0" xfId="2" applyNumberFormat="1" applyFont="1" applyFill="1" applyAlignment="1">
      <alignment horizontal="center"/>
    </xf>
    <xf numFmtId="166" fontId="4" fillId="4" borderId="0" xfId="2" applyNumberFormat="1" applyFont="1" applyFill="1" applyAlignment="1">
      <alignment horizontal="center"/>
    </xf>
    <xf numFmtId="166" fontId="7" fillId="3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6" fillId="5" borderId="0" xfId="0" applyFont="1" applyFill="1"/>
    <xf numFmtId="0" fontId="2" fillId="5" borderId="0" xfId="0" applyFont="1" applyFill="1"/>
    <xf numFmtId="164" fontId="3" fillId="5" borderId="0" xfId="1" applyFill="1"/>
    <xf numFmtId="0" fontId="0" fillId="5" borderId="0" xfId="0" applyFill="1" applyAlignment="1">
      <alignment horizontal="right"/>
    </xf>
    <xf numFmtId="0" fontId="0" fillId="5" borderId="0" xfId="0" applyFill="1"/>
    <xf numFmtId="0" fontId="6" fillId="3" borderId="0" xfId="0" applyFont="1" applyFill="1" applyAlignment="1">
      <alignment horizontal="right"/>
    </xf>
    <xf numFmtId="166" fontId="7" fillId="3" borderId="0" xfId="0" applyNumberFormat="1" applyFont="1" applyFill="1"/>
    <xf numFmtId="0" fontId="7" fillId="0" borderId="0" xfId="0" applyFont="1"/>
    <xf numFmtId="0" fontId="5" fillId="0" borderId="0" xfId="0" applyFont="1"/>
    <xf numFmtId="164" fontId="7" fillId="0" borderId="0" xfId="1" applyFont="1"/>
    <xf numFmtId="0" fontId="7" fillId="0" borderId="0" xfId="0" applyFont="1" applyAlignment="1">
      <alignment horizontal="right"/>
    </xf>
    <xf numFmtId="0" fontId="7" fillId="3" borderId="0" xfId="0" applyFont="1" applyFill="1"/>
    <xf numFmtId="164" fontId="7" fillId="3" borderId="0" xfId="1" applyFont="1" applyFill="1"/>
  </cellXfs>
  <cellStyles count="3">
    <cellStyle name="Monétaire" xfId="1" builtinId="4"/>
    <cellStyle name="Normal" xfId="0" builtinId="0"/>
    <cellStyle name="Normal 2" xfId="2" xr:uid="{00000000-0005-0000-0000-000002000000}"/>
  </cellStyles>
  <dxfs count="6">
    <dxf>
      <font>
        <b/>
        <u val="double"/>
        <color rgb="FFFF0000"/>
      </font>
    </dxf>
    <dxf>
      <font>
        <b/>
        <u val="double"/>
        <color rgb="FFFF0000"/>
      </font>
    </dxf>
    <dxf>
      <font>
        <b/>
        <u val="double"/>
        <color rgb="FFFF0000"/>
      </font>
    </dxf>
    <dxf>
      <font>
        <b/>
        <u val="double"/>
        <color rgb="FFFF0000"/>
      </font>
    </dxf>
    <dxf>
      <font>
        <b/>
        <u val="double"/>
        <color rgb="FFFF0000"/>
      </font>
    </dxf>
    <dxf>
      <font>
        <b/>
        <u val="double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98"/>
  <sheetViews>
    <sheetView tabSelected="1" zoomScaleNormal="100" workbookViewId="0">
      <pane xSplit="3" ySplit="4" topLeftCell="D553" activePane="bottomRight" state="frozen"/>
      <selection pane="topRight" activeCell="D1" sqref="D1"/>
      <selection pane="bottomLeft" activeCell="A5" sqref="A5"/>
      <selection pane="bottomRight" activeCell="B2" sqref="B2"/>
    </sheetView>
  </sheetViews>
  <sheetFormatPr baseColWidth="10" defaultColWidth="9.1796875" defaultRowHeight="14.5" x14ac:dyDescent="0.35"/>
  <cols>
    <col min="1" max="1" width="9.1796875" style="5"/>
    <col min="2" max="2" width="76.08984375" customWidth="1"/>
    <col min="3" max="3" width="11.26953125" style="1" customWidth="1"/>
    <col min="4" max="4" width="10.1796875" style="4" customWidth="1"/>
    <col min="5" max="5" width="19.26953125" style="2" customWidth="1"/>
    <col min="6" max="6" width="11.81640625" style="2" customWidth="1"/>
    <col min="7" max="7" width="7.81640625" customWidth="1"/>
    <col min="9" max="9" width="9.26953125" customWidth="1"/>
    <col min="10" max="10" width="8.26953125" customWidth="1"/>
    <col min="11" max="11" width="15.6328125" style="17" customWidth="1"/>
    <col min="12" max="12" width="19" customWidth="1"/>
    <col min="13" max="13" width="16.54296875" style="2" customWidth="1"/>
    <col min="14" max="14" width="19.26953125" style="2" customWidth="1"/>
    <col min="15" max="15" width="101.453125" customWidth="1"/>
    <col min="16" max="16" width="107.81640625" customWidth="1"/>
  </cols>
  <sheetData>
    <row r="1" spans="1:16" s="5" customFormat="1" x14ac:dyDescent="0.35">
      <c r="A1" s="5" t="s">
        <v>3119</v>
      </c>
      <c r="D1" s="8" t="s">
        <v>3122</v>
      </c>
      <c r="K1" s="14"/>
    </row>
    <row r="2" spans="1:16" s="5" customFormat="1" x14ac:dyDescent="0.35">
      <c r="A2" s="6" t="s">
        <v>3120</v>
      </c>
      <c r="B2" s="6" t="s">
        <v>3167</v>
      </c>
      <c r="C2" s="6"/>
      <c r="D2" s="9" t="s">
        <v>3123</v>
      </c>
      <c r="E2" s="6"/>
      <c r="F2" s="6"/>
      <c r="G2" s="6"/>
      <c r="H2" s="6"/>
      <c r="I2" s="6"/>
      <c r="J2" s="6"/>
      <c r="K2" s="15" t="s">
        <v>0</v>
      </c>
      <c r="L2" s="10">
        <f>SUM(L5:L4936)</f>
        <v>0</v>
      </c>
      <c r="M2" s="6"/>
      <c r="N2" s="6"/>
      <c r="O2" s="6"/>
    </row>
    <row r="3" spans="1:16" s="5" customFormat="1" x14ac:dyDescent="0.35">
      <c r="A3" s="6" t="s">
        <v>3121</v>
      </c>
      <c r="B3" s="6"/>
      <c r="C3" s="6"/>
      <c r="D3" s="9" t="s">
        <v>3124</v>
      </c>
      <c r="E3" s="6"/>
      <c r="F3" s="6"/>
      <c r="G3" s="6"/>
      <c r="H3" s="6"/>
      <c r="I3" s="6"/>
      <c r="J3" s="6"/>
      <c r="K3" s="15"/>
      <c r="L3" s="6"/>
      <c r="M3" s="6"/>
      <c r="N3" s="6"/>
      <c r="O3" s="6"/>
    </row>
    <row r="4" spans="1:16" s="5" customFormat="1" x14ac:dyDescent="0.35">
      <c r="A4" s="7" t="s">
        <v>1</v>
      </c>
      <c r="B4" s="7" t="s">
        <v>2</v>
      </c>
      <c r="C4" s="11" t="s">
        <v>3</v>
      </c>
      <c r="D4" s="12" t="s">
        <v>4</v>
      </c>
      <c r="E4" s="13" t="s">
        <v>5</v>
      </c>
      <c r="F4" s="13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16" t="s">
        <v>3118</v>
      </c>
      <c r="L4" s="7" t="s">
        <v>11</v>
      </c>
      <c r="M4" s="7" t="s">
        <v>12</v>
      </c>
      <c r="N4" s="13" t="s">
        <v>13</v>
      </c>
      <c r="O4" s="7" t="s">
        <v>14</v>
      </c>
      <c r="P4" s="7" t="s">
        <v>15</v>
      </c>
    </row>
    <row r="5" spans="1:16" x14ac:dyDescent="0.35">
      <c r="A5" s="5" t="str">
        <f>HYPERLINK("https://tienda.tarracoimportexport.com/index.php?id_product=305&amp;controller=product&amp;id_lang=4", "TR000726")</f>
        <v>TR000726</v>
      </c>
      <c r="B5" t="s">
        <v>19</v>
      </c>
      <c r="D5" s="4">
        <v>70506</v>
      </c>
      <c r="E5" t="s">
        <v>20</v>
      </c>
      <c r="F5" t="s">
        <v>16</v>
      </c>
      <c r="G5" t="s">
        <v>21</v>
      </c>
      <c r="H5">
        <v>6</v>
      </c>
      <c r="I5">
        <v>648</v>
      </c>
      <c r="J5" t="s">
        <v>22</v>
      </c>
      <c r="K5" s="17">
        <v>0.65</v>
      </c>
      <c r="L5" s="3">
        <f t="shared" ref="L5:L68" si="0">K5*C5</f>
        <v>0</v>
      </c>
      <c r="N5" t="s">
        <v>23</v>
      </c>
      <c r="O5" t="s">
        <v>24</v>
      </c>
      <c r="P5">
        <v>20.56</v>
      </c>
    </row>
    <row r="6" spans="1:16" x14ac:dyDescent="0.35">
      <c r="A6" s="5" t="str">
        <f>HYPERLINK("https://tienda.tarracoimportexport.com/index.php?id_product=3099&amp;controller=product&amp;id_lang=4", "TR004553")</f>
        <v>TR004553</v>
      </c>
      <c r="B6" t="s">
        <v>25</v>
      </c>
      <c r="D6" s="4">
        <v>11380</v>
      </c>
      <c r="E6" t="s">
        <v>26</v>
      </c>
      <c r="F6" t="s">
        <v>16</v>
      </c>
      <c r="G6" t="s">
        <v>27</v>
      </c>
      <c r="H6">
        <v>7</v>
      </c>
      <c r="I6">
        <v>350</v>
      </c>
      <c r="J6" t="s">
        <v>28</v>
      </c>
      <c r="K6" s="17">
        <v>1.03</v>
      </c>
      <c r="L6" s="3">
        <f t="shared" si="0"/>
        <v>0</v>
      </c>
      <c r="N6" t="s">
        <v>29</v>
      </c>
      <c r="O6" t="s">
        <v>30</v>
      </c>
      <c r="P6">
        <v>22.5</v>
      </c>
    </row>
    <row r="7" spans="1:16" x14ac:dyDescent="0.35">
      <c r="A7" s="5" t="str">
        <f>HYPERLINK("https://tienda.tarracoimportexport.com/index.php?id_product=3110&amp;controller=product&amp;id_lang=4", "TR004564")</f>
        <v>TR004564</v>
      </c>
      <c r="B7" t="s">
        <v>31</v>
      </c>
      <c r="D7" s="4">
        <v>5830</v>
      </c>
      <c r="E7" t="s">
        <v>32</v>
      </c>
      <c r="F7" t="s">
        <v>16</v>
      </c>
      <c r="G7" t="s">
        <v>27</v>
      </c>
      <c r="H7">
        <v>7</v>
      </c>
      <c r="I7">
        <v>350</v>
      </c>
      <c r="J7" t="s">
        <v>28</v>
      </c>
      <c r="K7" s="17">
        <v>1.03</v>
      </c>
      <c r="L7" s="3">
        <f t="shared" si="0"/>
        <v>0</v>
      </c>
      <c r="N7" t="s">
        <v>33</v>
      </c>
      <c r="O7" t="s">
        <v>30</v>
      </c>
      <c r="P7">
        <v>22.5</v>
      </c>
    </row>
    <row r="8" spans="1:16" x14ac:dyDescent="0.35">
      <c r="A8" s="5" t="str">
        <f>HYPERLINK("https://tienda.tarracoimportexport.com/index.php?id_product=3112&amp;controller=product&amp;id_lang=4", "TR004566")</f>
        <v>TR004566</v>
      </c>
      <c r="B8" t="s">
        <v>34</v>
      </c>
      <c r="D8" s="4">
        <v>5070</v>
      </c>
      <c r="E8" t="s">
        <v>35</v>
      </c>
      <c r="F8" t="s">
        <v>16</v>
      </c>
      <c r="G8" t="s">
        <v>27</v>
      </c>
      <c r="H8">
        <v>7</v>
      </c>
      <c r="I8">
        <v>350</v>
      </c>
      <c r="J8" t="s">
        <v>28</v>
      </c>
      <c r="K8" s="17">
        <v>1.03</v>
      </c>
      <c r="L8" s="3">
        <f t="shared" si="0"/>
        <v>0</v>
      </c>
      <c r="N8" t="s">
        <v>36</v>
      </c>
      <c r="O8" t="s">
        <v>30</v>
      </c>
      <c r="P8">
        <v>22.5</v>
      </c>
    </row>
    <row r="9" spans="1:16" x14ac:dyDescent="0.35">
      <c r="A9" s="5" t="str">
        <f>HYPERLINK("https://tienda.tarracoimportexport.com/index.php?id_product=9742&amp;controller=product&amp;id_lang=4", "TR010791")</f>
        <v>TR010791</v>
      </c>
      <c r="B9" t="s">
        <v>37</v>
      </c>
      <c r="D9" s="4">
        <v>228</v>
      </c>
      <c r="E9" t="s">
        <v>38</v>
      </c>
      <c r="F9" t="s">
        <v>16</v>
      </c>
      <c r="G9" t="s">
        <v>39</v>
      </c>
      <c r="H9">
        <v>20</v>
      </c>
      <c r="I9">
        <v>960</v>
      </c>
      <c r="J9" t="s">
        <v>40</v>
      </c>
      <c r="K9" s="17">
        <v>1.74</v>
      </c>
      <c r="L9" s="3">
        <f t="shared" si="0"/>
        <v>0</v>
      </c>
      <c r="N9" t="s">
        <v>41</v>
      </c>
      <c r="O9" t="s">
        <v>42</v>
      </c>
      <c r="P9">
        <v>2.9449999999999998</v>
      </c>
    </row>
    <row r="10" spans="1:16" x14ac:dyDescent="0.35">
      <c r="A10" s="5" t="str">
        <f>HYPERLINK("https://tienda.tarracoimportexport.com/index.php?id_product=9743&amp;controller=product&amp;id_lang=4", "TR010792")</f>
        <v>TR010792</v>
      </c>
      <c r="B10" t="s">
        <v>43</v>
      </c>
      <c r="D10" s="4">
        <v>6714</v>
      </c>
      <c r="E10" t="s">
        <v>44</v>
      </c>
      <c r="F10" t="s">
        <v>16</v>
      </c>
      <c r="G10" t="s">
        <v>39</v>
      </c>
      <c r="H10">
        <v>20</v>
      </c>
      <c r="I10">
        <v>960</v>
      </c>
      <c r="J10" t="s">
        <v>40</v>
      </c>
      <c r="K10" s="17">
        <v>1.74</v>
      </c>
      <c r="L10" s="3">
        <f t="shared" si="0"/>
        <v>0</v>
      </c>
      <c r="N10" t="s">
        <v>45</v>
      </c>
      <c r="O10" t="s">
        <v>42</v>
      </c>
      <c r="P10">
        <v>2.72</v>
      </c>
    </row>
    <row r="11" spans="1:16" x14ac:dyDescent="0.35">
      <c r="A11" s="5" t="str">
        <f>HYPERLINK("https://tienda.tarracoimportexport.com/index.php?id_product=8266&amp;controller=product&amp;id_lang=4", "TR009413")</f>
        <v>TR009413</v>
      </c>
      <c r="B11" t="s">
        <v>48</v>
      </c>
      <c r="D11" s="4">
        <v>1860</v>
      </c>
      <c r="E11" t="s">
        <v>49</v>
      </c>
      <c r="F11" t="s">
        <v>16</v>
      </c>
      <c r="G11" t="s">
        <v>50</v>
      </c>
      <c r="H11">
        <v>24</v>
      </c>
      <c r="I11">
        <v>3456</v>
      </c>
      <c r="J11" t="s">
        <v>51</v>
      </c>
      <c r="K11" s="17">
        <v>1.99</v>
      </c>
      <c r="L11" s="3">
        <f t="shared" si="0"/>
        <v>0</v>
      </c>
      <c r="N11" t="s">
        <v>52</v>
      </c>
      <c r="O11" t="s">
        <v>53</v>
      </c>
      <c r="P11">
        <v>1.21</v>
      </c>
    </row>
    <row r="12" spans="1:16" x14ac:dyDescent="0.35">
      <c r="A12" s="5" t="str">
        <f>HYPERLINK("https://tienda.tarracoimportexport.com/index.php?id_product=8265&amp;controller=product&amp;id_lang=4", "TR009412")</f>
        <v>TR009412</v>
      </c>
      <c r="B12" t="s">
        <v>54</v>
      </c>
      <c r="D12" s="4">
        <v>765</v>
      </c>
      <c r="E12" t="s">
        <v>55</v>
      </c>
      <c r="F12" t="s">
        <v>16</v>
      </c>
      <c r="G12" t="s">
        <v>56</v>
      </c>
      <c r="H12">
        <v>36</v>
      </c>
      <c r="I12">
        <v>1944</v>
      </c>
      <c r="J12" t="s">
        <v>57</v>
      </c>
      <c r="K12" s="17">
        <v>0.75</v>
      </c>
      <c r="L12" s="3">
        <f t="shared" si="0"/>
        <v>0</v>
      </c>
      <c r="N12" t="s">
        <v>58</v>
      </c>
      <c r="O12" t="s">
        <v>59</v>
      </c>
      <c r="P12">
        <v>0.495</v>
      </c>
    </row>
    <row r="13" spans="1:16" x14ac:dyDescent="0.35">
      <c r="A13" s="5" t="str">
        <f>HYPERLINK("https://tienda.tarracoimportexport.com/index.php?id_product=10139&amp;controller=product&amp;id_lang=4", "TR011178")</f>
        <v>TR011178</v>
      </c>
      <c r="B13" t="s">
        <v>60</v>
      </c>
      <c r="D13" s="4">
        <v>4936</v>
      </c>
      <c r="E13" t="s">
        <v>61</v>
      </c>
      <c r="F13" t="s">
        <v>16</v>
      </c>
      <c r="G13" t="s">
        <v>62</v>
      </c>
      <c r="H13">
        <v>30</v>
      </c>
      <c r="I13">
        <v>960</v>
      </c>
      <c r="J13" t="s">
        <v>63</v>
      </c>
      <c r="K13" s="17">
        <v>1.29</v>
      </c>
      <c r="L13" s="3">
        <f t="shared" si="0"/>
        <v>0</v>
      </c>
      <c r="N13" t="s">
        <v>64</v>
      </c>
      <c r="O13" t="s">
        <v>65</v>
      </c>
      <c r="P13">
        <v>2.1</v>
      </c>
    </row>
    <row r="14" spans="1:16" x14ac:dyDescent="0.35">
      <c r="A14" s="5" t="str">
        <f>HYPERLINK("https://tienda.tarracoimportexport.com/index.php?id_product=3074&amp;controller=product&amp;id_lang=4", "TR004531")</f>
        <v>TR004531</v>
      </c>
      <c r="B14" t="s">
        <v>66</v>
      </c>
      <c r="D14" s="4">
        <v>11240</v>
      </c>
      <c r="E14" t="s">
        <v>67</v>
      </c>
      <c r="F14" t="s">
        <v>68</v>
      </c>
      <c r="G14" t="s">
        <v>62</v>
      </c>
      <c r="H14">
        <v>24</v>
      </c>
      <c r="I14">
        <v>1536</v>
      </c>
      <c r="J14" t="s">
        <v>69</v>
      </c>
      <c r="K14" s="17">
        <v>1.34</v>
      </c>
      <c r="L14" s="3">
        <f t="shared" si="0"/>
        <v>0</v>
      </c>
      <c r="N14" t="s">
        <v>70</v>
      </c>
      <c r="O14" t="s">
        <v>71</v>
      </c>
      <c r="P14">
        <v>4.55</v>
      </c>
    </row>
    <row r="15" spans="1:16" x14ac:dyDescent="0.35">
      <c r="A15" s="5" t="str">
        <f>HYPERLINK("https://tienda.tarracoimportexport.com/index.php?id_product=7138&amp;controller=product&amp;id_lang=4", "TR008232")</f>
        <v>TR008232</v>
      </c>
      <c r="B15" t="s">
        <v>72</v>
      </c>
      <c r="D15" s="4">
        <v>456</v>
      </c>
      <c r="E15" t="s">
        <v>73</v>
      </c>
      <c r="F15" t="s">
        <v>16</v>
      </c>
      <c r="G15" t="s">
        <v>62</v>
      </c>
      <c r="H15">
        <v>24</v>
      </c>
      <c r="I15">
        <v>960</v>
      </c>
      <c r="J15" t="s">
        <v>63</v>
      </c>
      <c r="K15" s="17">
        <v>1.34</v>
      </c>
      <c r="L15" s="3">
        <f t="shared" si="0"/>
        <v>0</v>
      </c>
      <c r="N15" t="s">
        <v>74</v>
      </c>
      <c r="O15" t="s">
        <v>75</v>
      </c>
      <c r="P15">
        <v>4.5049999999999999</v>
      </c>
    </row>
    <row r="16" spans="1:16" x14ac:dyDescent="0.35">
      <c r="A16" s="5" t="str">
        <f>HYPERLINK("https://tienda.tarracoimportexport.com/index.php?id_product=7226&amp;controller=product&amp;id_lang=4", "TR008412")</f>
        <v>TR008412</v>
      </c>
      <c r="B16" t="s">
        <v>79</v>
      </c>
      <c r="D16" s="4">
        <v>4464</v>
      </c>
      <c r="E16" t="s">
        <v>80</v>
      </c>
      <c r="F16" t="s">
        <v>16</v>
      </c>
      <c r="G16" t="s">
        <v>50</v>
      </c>
      <c r="H16">
        <v>38</v>
      </c>
      <c r="I16">
        <v>2736</v>
      </c>
      <c r="J16" t="s">
        <v>81</v>
      </c>
      <c r="K16" s="17">
        <v>0.69</v>
      </c>
      <c r="L16" s="3">
        <f t="shared" si="0"/>
        <v>0</v>
      </c>
      <c r="N16" t="s">
        <v>82</v>
      </c>
      <c r="O16" t="s">
        <v>78</v>
      </c>
      <c r="P16">
        <v>1.47</v>
      </c>
    </row>
    <row r="17" spans="1:16" x14ac:dyDescent="0.35">
      <c r="A17" s="5" t="str">
        <f>HYPERLINK("https://tienda.tarracoimportexport.com/index.php?id_product=7258&amp;controller=product&amp;id_lang=4", "TR008443")</f>
        <v>TR008443</v>
      </c>
      <c r="B17" t="s">
        <v>83</v>
      </c>
      <c r="D17" s="4">
        <v>432</v>
      </c>
      <c r="E17" t="s">
        <v>84</v>
      </c>
      <c r="F17" t="s">
        <v>16</v>
      </c>
      <c r="G17" t="s">
        <v>50</v>
      </c>
      <c r="H17">
        <v>38</v>
      </c>
      <c r="I17">
        <v>2736</v>
      </c>
      <c r="J17" t="s">
        <v>81</v>
      </c>
      <c r="K17" s="17">
        <v>0.69</v>
      </c>
      <c r="L17" s="3">
        <f t="shared" si="0"/>
        <v>0</v>
      </c>
      <c r="N17" t="s">
        <v>85</v>
      </c>
      <c r="O17" t="s">
        <v>86</v>
      </c>
      <c r="P17">
        <v>1.4550000000000001</v>
      </c>
    </row>
    <row r="18" spans="1:16" x14ac:dyDescent="0.35">
      <c r="A18" s="5" t="str">
        <f>HYPERLINK("https://tienda.tarracoimportexport.com/index.php?id_product=10546&amp;controller=product&amp;id_lang=4", "TR011522")</f>
        <v>TR011522</v>
      </c>
      <c r="B18" t="s">
        <v>87</v>
      </c>
      <c r="D18" s="4">
        <v>7922</v>
      </c>
      <c r="E18" t="s">
        <v>88</v>
      </c>
      <c r="F18" t="s">
        <v>16</v>
      </c>
      <c r="G18" t="s">
        <v>89</v>
      </c>
      <c r="H18">
        <v>21</v>
      </c>
      <c r="I18">
        <v>168</v>
      </c>
      <c r="J18" t="s">
        <v>90</v>
      </c>
      <c r="K18" s="17">
        <v>5.87</v>
      </c>
      <c r="L18" s="3">
        <f t="shared" si="0"/>
        <v>0</v>
      </c>
      <c r="N18" t="s">
        <v>91</v>
      </c>
      <c r="O18" t="s">
        <v>42</v>
      </c>
      <c r="P18">
        <v>6.13</v>
      </c>
    </row>
    <row r="19" spans="1:16" x14ac:dyDescent="0.35">
      <c r="A19" s="5" t="str">
        <f>HYPERLINK("https://tienda.tarracoimportexport.com/index.php?id_product=10702&amp;controller=product&amp;id_lang=4", "TR011675")</f>
        <v>TR011675</v>
      </c>
      <c r="B19" t="s">
        <v>92</v>
      </c>
      <c r="D19" s="4">
        <v>17770</v>
      </c>
      <c r="E19" t="s">
        <v>93</v>
      </c>
      <c r="F19" t="s">
        <v>16</v>
      </c>
      <c r="G19" t="s">
        <v>89</v>
      </c>
      <c r="H19">
        <v>18</v>
      </c>
      <c r="I19">
        <v>144</v>
      </c>
      <c r="J19" t="s">
        <v>94</v>
      </c>
      <c r="K19" s="17">
        <v>8.4</v>
      </c>
      <c r="L19" s="3">
        <f t="shared" si="0"/>
        <v>0</v>
      </c>
      <c r="N19" t="s">
        <v>95</v>
      </c>
      <c r="O19" t="s">
        <v>42</v>
      </c>
      <c r="P19">
        <v>2.7</v>
      </c>
    </row>
    <row r="20" spans="1:16" x14ac:dyDescent="0.35">
      <c r="A20" s="5" t="str">
        <f>HYPERLINK("https://tienda.tarracoimportexport.com/index.php?id_product=10602&amp;controller=product&amp;id_lang=4", "TR011578")</f>
        <v>TR011578</v>
      </c>
      <c r="B20" t="s">
        <v>96</v>
      </c>
      <c r="D20" s="4">
        <v>11496</v>
      </c>
      <c r="E20" t="s">
        <v>97</v>
      </c>
      <c r="F20" t="s">
        <v>16</v>
      </c>
      <c r="G20" t="s">
        <v>89</v>
      </c>
      <c r="H20">
        <v>18</v>
      </c>
      <c r="I20">
        <v>144</v>
      </c>
      <c r="J20" t="s">
        <v>94</v>
      </c>
      <c r="K20" s="17">
        <v>7.5</v>
      </c>
      <c r="L20" s="3">
        <f t="shared" si="0"/>
        <v>0</v>
      </c>
      <c r="N20" t="s">
        <v>98</v>
      </c>
      <c r="O20" t="s">
        <v>99</v>
      </c>
      <c r="P20">
        <v>2.14</v>
      </c>
    </row>
    <row r="21" spans="1:16" x14ac:dyDescent="0.35">
      <c r="A21" s="5" t="str">
        <f>HYPERLINK("https://tienda.tarracoimportexport.com/index.php?id_product=10603&amp;controller=product&amp;id_lang=4", "TR011579")</f>
        <v>TR011579</v>
      </c>
      <c r="B21" t="s">
        <v>100</v>
      </c>
      <c r="D21" s="4">
        <v>10536</v>
      </c>
      <c r="E21" t="s">
        <v>101</v>
      </c>
      <c r="F21" t="s">
        <v>16</v>
      </c>
      <c r="G21" t="s">
        <v>89</v>
      </c>
      <c r="H21">
        <v>18</v>
      </c>
      <c r="I21">
        <v>144</v>
      </c>
      <c r="J21" t="s">
        <v>94</v>
      </c>
      <c r="K21" s="17">
        <v>7.5</v>
      </c>
      <c r="L21" s="3">
        <f t="shared" si="0"/>
        <v>0</v>
      </c>
      <c r="N21" t="s">
        <v>102</v>
      </c>
      <c r="O21" t="s">
        <v>99</v>
      </c>
      <c r="P21">
        <v>2.105</v>
      </c>
    </row>
    <row r="22" spans="1:16" x14ac:dyDescent="0.35">
      <c r="A22" s="5" t="str">
        <f>HYPERLINK("https://tienda.tarracoimportexport.com/index.php?id_product=8689&amp;controller=product&amp;id_lang=4", "TR009809")</f>
        <v>TR009809</v>
      </c>
      <c r="B22" t="s">
        <v>103</v>
      </c>
      <c r="D22" s="4">
        <v>73128</v>
      </c>
      <c r="E22" t="s">
        <v>104</v>
      </c>
      <c r="F22" t="s">
        <v>105</v>
      </c>
      <c r="G22" t="s">
        <v>106</v>
      </c>
      <c r="H22">
        <v>11</v>
      </c>
      <c r="I22">
        <v>1584</v>
      </c>
      <c r="J22" t="s">
        <v>107</v>
      </c>
      <c r="K22" s="17">
        <v>0.59</v>
      </c>
      <c r="L22" s="3">
        <f t="shared" si="0"/>
        <v>0</v>
      </c>
      <c r="N22" t="s">
        <v>108</v>
      </c>
      <c r="O22" t="s">
        <v>109</v>
      </c>
      <c r="P22">
        <v>6.43</v>
      </c>
    </row>
    <row r="23" spans="1:16" x14ac:dyDescent="0.35">
      <c r="A23" s="5" t="str">
        <f>HYPERLINK("https://tienda.tarracoimportexport.com/index.php?id_product=8691&amp;controller=product&amp;id_lang=4", "TR009811")</f>
        <v>TR009811</v>
      </c>
      <c r="B23" t="s">
        <v>110</v>
      </c>
      <c r="D23" s="4">
        <v>63384</v>
      </c>
      <c r="E23" t="s">
        <v>111</v>
      </c>
      <c r="F23" t="s">
        <v>105</v>
      </c>
      <c r="G23" t="s">
        <v>106</v>
      </c>
      <c r="H23">
        <v>11</v>
      </c>
      <c r="I23">
        <v>1584</v>
      </c>
      <c r="J23" t="s">
        <v>107</v>
      </c>
      <c r="K23" s="17">
        <v>0.59</v>
      </c>
      <c r="L23" s="3">
        <f t="shared" si="0"/>
        <v>0</v>
      </c>
      <c r="N23" t="s">
        <v>112</v>
      </c>
      <c r="O23" t="s">
        <v>109</v>
      </c>
      <c r="P23">
        <v>6.49</v>
      </c>
    </row>
    <row r="24" spans="1:16" x14ac:dyDescent="0.35">
      <c r="A24" s="5" t="str">
        <f>HYPERLINK("https://tienda.tarracoimportexport.com/index.php?id_product=8690&amp;controller=product&amp;id_lang=4", "TR009810")</f>
        <v>TR009810</v>
      </c>
      <c r="B24" t="s">
        <v>113</v>
      </c>
      <c r="D24" s="4">
        <v>79848</v>
      </c>
      <c r="E24" t="s">
        <v>114</v>
      </c>
      <c r="F24" t="s">
        <v>115</v>
      </c>
      <c r="G24" t="s">
        <v>106</v>
      </c>
      <c r="H24">
        <v>11</v>
      </c>
      <c r="I24">
        <v>1584</v>
      </c>
      <c r="J24" t="s">
        <v>107</v>
      </c>
      <c r="K24" s="17">
        <v>0.59</v>
      </c>
      <c r="L24" s="3">
        <f t="shared" si="0"/>
        <v>0</v>
      </c>
      <c r="N24" t="s">
        <v>116</v>
      </c>
      <c r="O24" t="s">
        <v>109</v>
      </c>
      <c r="P24">
        <v>6.43</v>
      </c>
    </row>
    <row r="25" spans="1:16" x14ac:dyDescent="0.35">
      <c r="A25" s="5" t="str">
        <f>HYPERLINK("https://tienda.tarracoimportexport.com/index.php?id_product=8684&amp;controller=product&amp;id_lang=4", "TR009808")</f>
        <v>TR009808</v>
      </c>
      <c r="B25" t="s">
        <v>117</v>
      </c>
      <c r="D25" s="4">
        <v>44520</v>
      </c>
      <c r="E25" t="s">
        <v>118</v>
      </c>
      <c r="F25" t="s">
        <v>115</v>
      </c>
      <c r="G25" t="s">
        <v>106</v>
      </c>
      <c r="H25">
        <v>11</v>
      </c>
      <c r="I25">
        <v>1584</v>
      </c>
      <c r="J25" t="s">
        <v>107</v>
      </c>
      <c r="K25" s="17">
        <v>0.59</v>
      </c>
      <c r="L25" s="3">
        <f t="shared" si="0"/>
        <v>0</v>
      </c>
      <c r="N25" t="s">
        <v>119</v>
      </c>
      <c r="O25" t="s">
        <v>109</v>
      </c>
      <c r="P25">
        <v>6.39</v>
      </c>
    </row>
    <row r="26" spans="1:16" x14ac:dyDescent="0.35">
      <c r="A26" s="5" t="str">
        <f>HYPERLINK("https://tienda.tarracoimportexport.com/index.php?id_product=10052&amp;controller=product&amp;id_lang=4", "TR011091")</f>
        <v>TR011091</v>
      </c>
      <c r="B26" t="s">
        <v>120</v>
      </c>
      <c r="D26" s="4">
        <v>83256</v>
      </c>
      <c r="E26" t="s">
        <v>121</v>
      </c>
      <c r="F26" t="s">
        <v>105</v>
      </c>
      <c r="G26" t="s">
        <v>106</v>
      </c>
      <c r="H26">
        <v>11</v>
      </c>
      <c r="I26">
        <v>1584</v>
      </c>
      <c r="J26" t="s">
        <v>107</v>
      </c>
      <c r="K26" s="17">
        <v>0.59</v>
      </c>
      <c r="L26" s="3">
        <f t="shared" si="0"/>
        <v>0</v>
      </c>
      <c r="N26" t="s">
        <v>122</v>
      </c>
      <c r="O26" t="s">
        <v>109</v>
      </c>
      <c r="P26">
        <v>6.4</v>
      </c>
    </row>
    <row r="27" spans="1:16" x14ac:dyDescent="0.35">
      <c r="A27" s="5" t="str">
        <f>HYPERLINK("https://tienda.tarracoimportexport.com/index.php?id_product=8693&amp;controller=product&amp;id_lang=4", "TR009813")</f>
        <v>TR009813</v>
      </c>
      <c r="B27" t="s">
        <v>123</v>
      </c>
      <c r="D27" s="4">
        <v>30834</v>
      </c>
      <c r="E27" t="s">
        <v>124</v>
      </c>
      <c r="F27" t="s">
        <v>125</v>
      </c>
      <c r="G27" t="s">
        <v>39</v>
      </c>
      <c r="H27">
        <v>29</v>
      </c>
      <c r="I27">
        <v>870</v>
      </c>
      <c r="J27" t="s">
        <v>126</v>
      </c>
      <c r="K27" s="17">
        <v>0.9</v>
      </c>
      <c r="L27" s="3">
        <f t="shared" si="0"/>
        <v>0</v>
      </c>
      <c r="N27" t="s">
        <v>127</v>
      </c>
      <c r="O27" t="s">
        <v>109</v>
      </c>
      <c r="P27">
        <v>3.085</v>
      </c>
    </row>
    <row r="28" spans="1:16" x14ac:dyDescent="0.35">
      <c r="A28" s="5" t="str">
        <f>HYPERLINK("https://tienda.tarracoimportexport.com/index.php?id_product=8692&amp;controller=product&amp;id_lang=4", "TR009812")</f>
        <v>TR009812</v>
      </c>
      <c r="B28" t="s">
        <v>128</v>
      </c>
      <c r="D28" s="4">
        <v>6156</v>
      </c>
      <c r="E28" t="s">
        <v>129</v>
      </c>
      <c r="F28" t="s">
        <v>130</v>
      </c>
      <c r="G28" t="s">
        <v>39</v>
      </c>
      <c r="H28">
        <v>29</v>
      </c>
      <c r="I28">
        <v>870</v>
      </c>
      <c r="J28" t="s">
        <v>126</v>
      </c>
      <c r="K28" s="17">
        <v>0.9</v>
      </c>
      <c r="L28" s="3">
        <f t="shared" si="0"/>
        <v>0</v>
      </c>
      <c r="N28" t="s">
        <v>131</v>
      </c>
      <c r="O28" t="s">
        <v>109</v>
      </c>
      <c r="P28">
        <v>3.08</v>
      </c>
    </row>
    <row r="29" spans="1:16" x14ac:dyDescent="0.35">
      <c r="A29" s="5" t="str">
        <f>HYPERLINK("https://tienda.tarracoimportexport.com/index.php?id_product=8695&amp;controller=product&amp;id_lang=4", "TR009815")</f>
        <v>TR009815</v>
      </c>
      <c r="B29" t="s">
        <v>132</v>
      </c>
      <c r="D29" s="4">
        <v>12978</v>
      </c>
      <c r="E29" t="s">
        <v>133</v>
      </c>
      <c r="F29" t="s">
        <v>125</v>
      </c>
      <c r="G29" t="s">
        <v>39</v>
      </c>
      <c r="H29">
        <v>29</v>
      </c>
      <c r="I29">
        <v>870</v>
      </c>
      <c r="J29" t="s">
        <v>126</v>
      </c>
      <c r="K29" s="17">
        <v>0.9</v>
      </c>
      <c r="L29" s="3">
        <f t="shared" si="0"/>
        <v>0</v>
      </c>
      <c r="N29" t="s">
        <v>134</v>
      </c>
      <c r="O29" t="s">
        <v>109</v>
      </c>
      <c r="P29">
        <v>3.0550000000000002</v>
      </c>
    </row>
    <row r="30" spans="1:16" x14ac:dyDescent="0.35">
      <c r="A30" s="5" t="str">
        <f>HYPERLINK("https://tienda.tarracoimportexport.com/index.php?id_product=8694&amp;controller=product&amp;id_lang=4", "TR009814")</f>
        <v>TR009814</v>
      </c>
      <c r="B30" t="s">
        <v>135</v>
      </c>
      <c r="D30" s="4">
        <v>5364</v>
      </c>
      <c r="E30" t="s">
        <v>136</v>
      </c>
      <c r="F30" t="s">
        <v>130</v>
      </c>
      <c r="G30" t="s">
        <v>39</v>
      </c>
      <c r="H30">
        <v>29</v>
      </c>
      <c r="I30">
        <v>870</v>
      </c>
      <c r="J30" t="s">
        <v>126</v>
      </c>
      <c r="K30" s="17">
        <v>0.9</v>
      </c>
      <c r="L30" s="3">
        <f t="shared" si="0"/>
        <v>0</v>
      </c>
      <c r="N30" t="s">
        <v>137</v>
      </c>
      <c r="O30" t="s">
        <v>109</v>
      </c>
      <c r="P30">
        <v>3.08</v>
      </c>
    </row>
    <row r="31" spans="1:16" x14ac:dyDescent="0.35">
      <c r="A31" s="5" t="str">
        <f>HYPERLINK("https://tienda.tarracoimportexport.com/index.php?id_product=8635&amp;controller=product&amp;id_lang=4", "TR009770")</f>
        <v>TR009770</v>
      </c>
      <c r="B31" t="s">
        <v>138</v>
      </c>
      <c r="D31" s="4">
        <v>111456</v>
      </c>
      <c r="E31" t="s">
        <v>139</v>
      </c>
      <c r="F31" t="s">
        <v>105</v>
      </c>
      <c r="G31" t="s">
        <v>106</v>
      </c>
      <c r="H31">
        <v>8</v>
      </c>
      <c r="I31">
        <v>1920</v>
      </c>
      <c r="J31" t="s">
        <v>140</v>
      </c>
      <c r="K31" s="17">
        <v>0.62</v>
      </c>
      <c r="L31" s="3">
        <f t="shared" si="0"/>
        <v>0</v>
      </c>
      <c r="N31" t="s">
        <v>141</v>
      </c>
      <c r="O31" t="s">
        <v>142</v>
      </c>
      <c r="P31">
        <v>5.69</v>
      </c>
    </row>
    <row r="32" spans="1:16" x14ac:dyDescent="0.35">
      <c r="A32" s="5" t="str">
        <f>HYPERLINK("https://tienda.tarracoimportexport.com/index.php?id_product=8619&amp;controller=product&amp;id_lang=4", "TR009755")</f>
        <v>TR009755</v>
      </c>
      <c r="B32" t="s">
        <v>143</v>
      </c>
      <c r="D32" s="4">
        <v>131472</v>
      </c>
      <c r="E32" t="s">
        <v>144</v>
      </c>
      <c r="F32" t="s">
        <v>105</v>
      </c>
      <c r="G32" t="s">
        <v>106</v>
      </c>
      <c r="H32">
        <v>8</v>
      </c>
      <c r="I32">
        <v>1920</v>
      </c>
      <c r="J32" t="s">
        <v>140</v>
      </c>
      <c r="K32" s="17">
        <v>0.62</v>
      </c>
      <c r="L32" s="3">
        <f t="shared" si="0"/>
        <v>0</v>
      </c>
      <c r="N32" t="s">
        <v>145</v>
      </c>
      <c r="O32" t="s">
        <v>142</v>
      </c>
      <c r="P32">
        <v>5.67</v>
      </c>
    </row>
    <row r="33" spans="1:16" x14ac:dyDescent="0.35">
      <c r="A33" s="5" t="str">
        <f>HYPERLINK("https://tienda.tarracoimportexport.com/index.php?id_product=8636&amp;controller=product&amp;id_lang=4", "TR009771")</f>
        <v>TR009771</v>
      </c>
      <c r="B33" t="s">
        <v>146</v>
      </c>
      <c r="D33" s="4">
        <v>131232</v>
      </c>
      <c r="E33" t="s">
        <v>147</v>
      </c>
      <c r="F33" t="s">
        <v>148</v>
      </c>
      <c r="G33" t="s">
        <v>106</v>
      </c>
      <c r="H33">
        <v>8</v>
      </c>
      <c r="I33">
        <v>1920</v>
      </c>
      <c r="J33" t="s">
        <v>140</v>
      </c>
      <c r="K33" s="17">
        <v>0.62</v>
      </c>
      <c r="L33" s="3">
        <f t="shared" si="0"/>
        <v>0</v>
      </c>
      <c r="N33" t="s">
        <v>149</v>
      </c>
      <c r="O33" t="s">
        <v>142</v>
      </c>
      <c r="P33">
        <v>5.66</v>
      </c>
    </row>
    <row r="34" spans="1:16" x14ac:dyDescent="0.35">
      <c r="A34" s="5" t="str">
        <f>HYPERLINK("https://tienda.tarracoimportexport.com/index.php?id_product=8634&amp;controller=product&amp;id_lang=4", "TR009769")</f>
        <v>TR009769</v>
      </c>
      <c r="B34" t="s">
        <v>150</v>
      </c>
      <c r="D34" s="4">
        <v>55104</v>
      </c>
      <c r="E34" t="s">
        <v>151</v>
      </c>
      <c r="F34" t="s">
        <v>148</v>
      </c>
      <c r="G34" t="s">
        <v>106</v>
      </c>
      <c r="H34">
        <v>8</v>
      </c>
      <c r="I34">
        <v>1920</v>
      </c>
      <c r="J34" t="s">
        <v>140</v>
      </c>
      <c r="K34" s="17">
        <v>0.62</v>
      </c>
      <c r="L34" s="3">
        <f t="shared" si="0"/>
        <v>0</v>
      </c>
      <c r="N34" t="s">
        <v>152</v>
      </c>
      <c r="O34" t="s">
        <v>142</v>
      </c>
      <c r="P34">
        <v>5.6749999999999998</v>
      </c>
    </row>
    <row r="35" spans="1:16" x14ac:dyDescent="0.35">
      <c r="A35" s="5" t="str">
        <f>HYPERLINK("https://tienda.tarracoimportexport.com/index.php?id_product=8618&amp;controller=product&amp;id_lang=4", "TR009754")</f>
        <v>TR009754</v>
      </c>
      <c r="B35" t="s">
        <v>153</v>
      </c>
      <c r="D35" s="4">
        <v>189432</v>
      </c>
      <c r="E35" t="s">
        <v>154</v>
      </c>
      <c r="F35" t="s">
        <v>105</v>
      </c>
      <c r="G35" t="s">
        <v>106</v>
      </c>
      <c r="H35">
        <v>8</v>
      </c>
      <c r="I35">
        <v>1920</v>
      </c>
      <c r="J35" t="s">
        <v>140</v>
      </c>
      <c r="K35" s="17">
        <v>0.62</v>
      </c>
      <c r="L35" s="3">
        <f t="shared" si="0"/>
        <v>0</v>
      </c>
      <c r="N35" t="s">
        <v>155</v>
      </c>
      <c r="O35" t="s">
        <v>142</v>
      </c>
      <c r="P35">
        <v>5.69</v>
      </c>
    </row>
    <row r="36" spans="1:16" x14ac:dyDescent="0.35">
      <c r="A36" s="5" t="str">
        <f>HYPERLINK("https://tienda.tarracoimportexport.com/index.php?id_product=8620&amp;controller=product&amp;id_lang=4", "TR009756")</f>
        <v>TR009756</v>
      </c>
      <c r="B36" t="s">
        <v>156</v>
      </c>
      <c r="D36" s="4">
        <v>210048</v>
      </c>
      <c r="E36" t="s">
        <v>157</v>
      </c>
      <c r="F36" t="s">
        <v>105</v>
      </c>
      <c r="G36" t="s">
        <v>106</v>
      </c>
      <c r="H36">
        <v>8</v>
      </c>
      <c r="I36">
        <v>1920</v>
      </c>
      <c r="J36" t="s">
        <v>140</v>
      </c>
      <c r="K36" s="17">
        <v>0.62</v>
      </c>
      <c r="L36" s="3">
        <f t="shared" si="0"/>
        <v>0</v>
      </c>
      <c r="N36" t="s">
        <v>158</v>
      </c>
      <c r="O36" t="s">
        <v>142</v>
      </c>
      <c r="P36">
        <v>5.665</v>
      </c>
    </row>
    <row r="37" spans="1:16" x14ac:dyDescent="0.35">
      <c r="A37" s="5" t="str">
        <f>HYPERLINK("https://tienda.tarracoimportexport.com/index.php?id_product=8622&amp;controller=product&amp;id_lang=4", "TR009758")</f>
        <v>TR009758</v>
      </c>
      <c r="B37" t="s">
        <v>159</v>
      </c>
      <c r="D37" s="4">
        <v>139128</v>
      </c>
      <c r="E37" t="s">
        <v>160</v>
      </c>
      <c r="F37" t="s">
        <v>68</v>
      </c>
      <c r="G37" t="s">
        <v>106</v>
      </c>
      <c r="H37">
        <v>8</v>
      </c>
      <c r="I37">
        <v>1920</v>
      </c>
      <c r="J37" t="s">
        <v>140</v>
      </c>
      <c r="K37" s="17">
        <v>0.62</v>
      </c>
      <c r="L37" s="3">
        <f t="shared" si="0"/>
        <v>0</v>
      </c>
      <c r="N37" t="s">
        <v>161</v>
      </c>
      <c r="O37" t="s">
        <v>142</v>
      </c>
      <c r="P37">
        <v>5.28</v>
      </c>
    </row>
    <row r="38" spans="1:16" x14ac:dyDescent="0.35">
      <c r="A38" s="5" t="str">
        <f>HYPERLINK("https://tienda.tarracoimportexport.com/index.php?id_product=8621&amp;controller=product&amp;id_lang=4", "TR009757")</f>
        <v>TR009757</v>
      </c>
      <c r="B38" t="s">
        <v>162</v>
      </c>
      <c r="D38" s="4">
        <v>211488</v>
      </c>
      <c r="E38" t="s">
        <v>163</v>
      </c>
      <c r="F38" t="s">
        <v>164</v>
      </c>
      <c r="G38" t="s">
        <v>106</v>
      </c>
      <c r="H38">
        <v>8</v>
      </c>
      <c r="I38">
        <v>1920</v>
      </c>
      <c r="J38" t="s">
        <v>140</v>
      </c>
      <c r="K38" s="17">
        <v>0.62</v>
      </c>
      <c r="L38" s="3">
        <f t="shared" si="0"/>
        <v>0</v>
      </c>
      <c r="N38" t="s">
        <v>165</v>
      </c>
      <c r="O38" t="s">
        <v>142</v>
      </c>
      <c r="P38">
        <v>5.625</v>
      </c>
    </row>
    <row r="39" spans="1:16" x14ac:dyDescent="0.35">
      <c r="A39" s="5" t="str">
        <f>HYPERLINK("https://tienda.tarracoimportexport.com/index.php?id_product=8696&amp;controller=product&amp;id_lang=4", "TR009816")</f>
        <v>TR009816</v>
      </c>
      <c r="B39" t="s">
        <v>166</v>
      </c>
      <c r="D39" s="4">
        <v>39048</v>
      </c>
      <c r="E39" t="s">
        <v>167</v>
      </c>
      <c r="F39" t="s">
        <v>148</v>
      </c>
      <c r="G39" t="s">
        <v>106</v>
      </c>
      <c r="H39">
        <v>8</v>
      </c>
      <c r="I39">
        <v>1920</v>
      </c>
      <c r="J39" t="s">
        <v>140</v>
      </c>
      <c r="K39" s="17">
        <v>0.62</v>
      </c>
      <c r="L39" s="3">
        <f t="shared" si="0"/>
        <v>0</v>
      </c>
      <c r="N39" t="s">
        <v>168</v>
      </c>
      <c r="O39" t="s">
        <v>142</v>
      </c>
      <c r="P39">
        <v>5.63</v>
      </c>
    </row>
    <row r="40" spans="1:16" x14ac:dyDescent="0.35">
      <c r="A40" s="5" t="str">
        <f>HYPERLINK("https://tienda.tarracoimportexport.com/index.php?id_product=8697&amp;controller=product&amp;id_lang=4", "TR009817")</f>
        <v>TR009817</v>
      </c>
      <c r="B40" t="s">
        <v>169</v>
      </c>
      <c r="D40" s="4">
        <v>110664</v>
      </c>
      <c r="E40" t="s">
        <v>170</v>
      </c>
      <c r="F40" t="s">
        <v>171</v>
      </c>
      <c r="G40" t="s">
        <v>106</v>
      </c>
      <c r="H40">
        <v>8</v>
      </c>
      <c r="I40">
        <v>1920</v>
      </c>
      <c r="J40" t="s">
        <v>140</v>
      </c>
      <c r="K40" s="17">
        <v>0.62</v>
      </c>
      <c r="L40" s="3">
        <f t="shared" si="0"/>
        <v>0</v>
      </c>
      <c r="N40" t="s">
        <v>172</v>
      </c>
      <c r="O40" t="s">
        <v>142</v>
      </c>
      <c r="P40">
        <v>5.64</v>
      </c>
    </row>
    <row r="41" spans="1:16" x14ac:dyDescent="0.35">
      <c r="A41" s="5" t="str">
        <f>HYPERLINK("https://tienda.tarracoimportexport.com/index.php?id_product=10107&amp;controller=product&amp;id_lang=4", "TR011146")</f>
        <v>TR011146</v>
      </c>
      <c r="B41" t="s">
        <v>173</v>
      </c>
      <c r="D41" s="4">
        <v>72792</v>
      </c>
      <c r="E41" t="s">
        <v>174</v>
      </c>
      <c r="F41" t="s">
        <v>16</v>
      </c>
      <c r="G41" t="s">
        <v>50</v>
      </c>
      <c r="H41">
        <v>28</v>
      </c>
      <c r="I41">
        <v>4032</v>
      </c>
      <c r="J41" t="s">
        <v>175</v>
      </c>
      <c r="K41" s="17">
        <v>0.4</v>
      </c>
      <c r="L41" s="3">
        <f t="shared" si="0"/>
        <v>0</v>
      </c>
      <c r="N41" t="s">
        <v>176</v>
      </c>
      <c r="O41" t="s">
        <v>177</v>
      </c>
      <c r="P41">
        <v>0.46</v>
      </c>
    </row>
    <row r="42" spans="1:16" x14ac:dyDescent="0.35">
      <c r="A42" s="5" t="str">
        <f>HYPERLINK("https://tienda.tarracoimportexport.com/index.php?id_product=9501&amp;controller=product&amp;id_lang=4", "TR010566")</f>
        <v>TR010566</v>
      </c>
      <c r="B42" t="s">
        <v>178</v>
      </c>
      <c r="D42" s="4">
        <v>5415</v>
      </c>
      <c r="E42" t="s">
        <v>179</v>
      </c>
      <c r="F42" t="s">
        <v>16</v>
      </c>
      <c r="G42" t="s">
        <v>180</v>
      </c>
      <c r="H42">
        <v>16</v>
      </c>
      <c r="I42">
        <v>1200</v>
      </c>
      <c r="J42" t="s">
        <v>140</v>
      </c>
      <c r="K42" s="17">
        <v>0.68</v>
      </c>
      <c r="L42" s="3">
        <f t="shared" si="0"/>
        <v>0</v>
      </c>
      <c r="N42" t="s">
        <v>181</v>
      </c>
      <c r="O42" t="s">
        <v>182</v>
      </c>
      <c r="P42">
        <v>3.5950000000000002</v>
      </c>
    </row>
    <row r="43" spans="1:16" x14ac:dyDescent="0.35">
      <c r="A43" s="5" t="str">
        <f>HYPERLINK("https://tienda.tarracoimportexport.com/index.php?id_product=9597&amp;controller=product&amp;id_lang=4", "TR010654")</f>
        <v>TR010654</v>
      </c>
      <c r="B43" t="s">
        <v>183</v>
      </c>
      <c r="D43" s="4">
        <v>22950</v>
      </c>
      <c r="E43" t="s">
        <v>184</v>
      </c>
      <c r="F43" t="s">
        <v>16</v>
      </c>
      <c r="G43" t="s">
        <v>185</v>
      </c>
      <c r="H43">
        <v>8</v>
      </c>
      <c r="I43">
        <v>1000</v>
      </c>
      <c r="J43" t="s">
        <v>186</v>
      </c>
      <c r="K43" s="17">
        <v>0.95</v>
      </c>
      <c r="L43" s="3">
        <f t="shared" si="0"/>
        <v>0</v>
      </c>
      <c r="N43" t="s">
        <v>187</v>
      </c>
      <c r="O43" t="s">
        <v>188</v>
      </c>
      <c r="P43">
        <v>16.074999999999999</v>
      </c>
    </row>
    <row r="44" spans="1:16" x14ac:dyDescent="0.35">
      <c r="A44" s="5" t="str">
        <f>HYPERLINK("https://tienda.tarracoimportexport.com/index.php?id_product=9503&amp;controller=product&amp;id_lang=4", "TR010568")</f>
        <v>TR010568</v>
      </c>
      <c r="B44" t="s">
        <v>189</v>
      </c>
      <c r="D44" s="4">
        <v>2709</v>
      </c>
      <c r="E44" t="s">
        <v>190</v>
      </c>
      <c r="F44" t="s">
        <v>16</v>
      </c>
      <c r="G44" t="s">
        <v>191</v>
      </c>
      <c r="H44">
        <v>14</v>
      </c>
      <c r="I44">
        <v>1470</v>
      </c>
      <c r="J44" t="s">
        <v>192</v>
      </c>
      <c r="K44" s="17">
        <v>0.55000000000000004</v>
      </c>
      <c r="L44" s="3">
        <f t="shared" si="0"/>
        <v>0</v>
      </c>
      <c r="N44" t="s">
        <v>193</v>
      </c>
      <c r="O44" t="s">
        <v>188</v>
      </c>
      <c r="P44">
        <v>4.13</v>
      </c>
    </row>
    <row r="45" spans="1:16" x14ac:dyDescent="0.35">
      <c r="A45" s="5" t="str">
        <f>HYPERLINK("https://tienda.tarracoimportexport.com/index.php?id_product=9502&amp;controller=product&amp;id_lang=4", "TR010567")</f>
        <v>TR010567</v>
      </c>
      <c r="B45" t="s">
        <v>194</v>
      </c>
      <c r="D45" s="4">
        <v>31374</v>
      </c>
      <c r="E45" t="s">
        <v>195</v>
      </c>
      <c r="F45" t="s">
        <v>16</v>
      </c>
      <c r="G45" t="s">
        <v>191</v>
      </c>
      <c r="H45">
        <v>14</v>
      </c>
      <c r="I45">
        <v>1470</v>
      </c>
      <c r="J45" t="s">
        <v>192</v>
      </c>
      <c r="K45" s="17">
        <v>0.55000000000000004</v>
      </c>
      <c r="L45" s="3">
        <f t="shared" si="0"/>
        <v>0</v>
      </c>
      <c r="N45" t="s">
        <v>196</v>
      </c>
      <c r="O45" t="s">
        <v>188</v>
      </c>
      <c r="P45">
        <v>4.2649999999999997</v>
      </c>
    </row>
    <row r="46" spans="1:16" x14ac:dyDescent="0.35">
      <c r="A46" s="5" t="str">
        <f>HYPERLINK("https://tienda.tarracoimportexport.com/index.php?id_product=9504&amp;controller=product&amp;id_lang=4", "TR010569")</f>
        <v>TR010569</v>
      </c>
      <c r="B46" t="s">
        <v>197</v>
      </c>
      <c r="D46" s="4">
        <v>21180</v>
      </c>
      <c r="E46" t="s">
        <v>198</v>
      </c>
      <c r="F46" t="s">
        <v>16</v>
      </c>
      <c r="G46" t="s">
        <v>180</v>
      </c>
      <c r="H46">
        <v>16</v>
      </c>
      <c r="I46">
        <v>1200</v>
      </c>
      <c r="J46" t="s">
        <v>140</v>
      </c>
      <c r="K46" s="17">
        <v>0.82</v>
      </c>
      <c r="L46" s="3">
        <f t="shared" si="0"/>
        <v>0</v>
      </c>
      <c r="N46" t="s">
        <v>199</v>
      </c>
      <c r="O46" t="s">
        <v>188</v>
      </c>
      <c r="P46">
        <v>3.9550000000000001</v>
      </c>
    </row>
    <row r="47" spans="1:16" x14ac:dyDescent="0.35">
      <c r="A47" s="5" t="str">
        <f>HYPERLINK("https://tienda.tarracoimportexport.com/index.php?id_product=6377&amp;controller=product&amp;id_lang=4", "TR007503")</f>
        <v>TR007503</v>
      </c>
      <c r="B47" t="s">
        <v>200</v>
      </c>
      <c r="D47" s="4">
        <v>14976</v>
      </c>
      <c r="E47" t="s">
        <v>201</v>
      </c>
      <c r="F47" t="s">
        <v>16</v>
      </c>
      <c r="G47" t="s">
        <v>106</v>
      </c>
      <c r="H47">
        <v>8</v>
      </c>
      <c r="I47">
        <v>1152</v>
      </c>
      <c r="J47" t="s">
        <v>202</v>
      </c>
      <c r="K47" s="17">
        <v>0.52</v>
      </c>
      <c r="L47" s="3">
        <f t="shared" si="0"/>
        <v>0</v>
      </c>
      <c r="N47" t="s">
        <v>203</v>
      </c>
      <c r="O47" t="s">
        <v>204</v>
      </c>
      <c r="P47">
        <v>5.15</v>
      </c>
    </row>
    <row r="48" spans="1:16" x14ac:dyDescent="0.35">
      <c r="A48" s="5" t="str">
        <f>HYPERLINK("https://tienda.tarracoimportexport.com/index.php?id_product=9151&amp;controller=product&amp;id_lang=4", "TR010231")</f>
        <v>TR010231</v>
      </c>
      <c r="B48" t="s">
        <v>205</v>
      </c>
      <c r="D48" s="4">
        <v>13656</v>
      </c>
      <c r="E48" t="s">
        <v>206</v>
      </c>
      <c r="F48" t="s">
        <v>16</v>
      </c>
      <c r="G48" t="s">
        <v>106</v>
      </c>
      <c r="H48">
        <v>8</v>
      </c>
      <c r="I48">
        <v>1152</v>
      </c>
      <c r="J48" t="s">
        <v>202</v>
      </c>
      <c r="K48" s="17">
        <v>0.5</v>
      </c>
      <c r="L48" s="3">
        <f t="shared" si="0"/>
        <v>0</v>
      </c>
      <c r="N48" t="s">
        <v>207</v>
      </c>
      <c r="O48" t="s">
        <v>30</v>
      </c>
      <c r="P48">
        <v>4.42</v>
      </c>
    </row>
    <row r="49" spans="1:16" x14ac:dyDescent="0.35">
      <c r="A49" s="5" t="str">
        <f>HYPERLINK("https://tienda.tarracoimportexport.com/index.php?id_product=6376&amp;controller=product&amp;id_lang=4", "TR007502")</f>
        <v>TR007502</v>
      </c>
      <c r="B49" t="s">
        <v>208</v>
      </c>
      <c r="D49" s="4">
        <v>12960</v>
      </c>
      <c r="E49" t="s">
        <v>209</v>
      </c>
      <c r="F49" t="s">
        <v>16</v>
      </c>
      <c r="G49" t="s">
        <v>50</v>
      </c>
      <c r="H49">
        <v>9</v>
      </c>
      <c r="I49">
        <v>864</v>
      </c>
      <c r="J49" t="s">
        <v>94</v>
      </c>
      <c r="K49" s="17">
        <v>0.78</v>
      </c>
      <c r="L49" s="3">
        <f t="shared" si="0"/>
        <v>0</v>
      </c>
      <c r="N49" t="s">
        <v>210</v>
      </c>
      <c r="O49" t="s">
        <v>204</v>
      </c>
      <c r="P49">
        <v>2.7549999999999999</v>
      </c>
    </row>
    <row r="50" spans="1:16" x14ac:dyDescent="0.35">
      <c r="A50" s="5" t="str">
        <f>HYPERLINK("https://tienda.tarracoimportexport.com/index.php?id_product=6704&amp;controller=product&amp;id_lang=4", "TR007819")</f>
        <v>TR007819</v>
      </c>
      <c r="B50" t="s">
        <v>211</v>
      </c>
      <c r="D50" s="4">
        <v>19440</v>
      </c>
      <c r="E50" t="s">
        <v>212</v>
      </c>
      <c r="F50" t="s">
        <v>16</v>
      </c>
      <c r="G50" t="s">
        <v>39</v>
      </c>
      <c r="H50">
        <v>19</v>
      </c>
      <c r="I50">
        <v>456</v>
      </c>
      <c r="J50" t="s">
        <v>213</v>
      </c>
      <c r="K50" s="17">
        <v>0.89</v>
      </c>
      <c r="L50" s="3">
        <f t="shared" si="0"/>
        <v>0</v>
      </c>
      <c r="N50" t="s">
        <v>214</v>
      </c>
      <c r="O50" t="s">
        <v>215</v>
      </c>
      <c r="P50">
        <v>9.4350000000000005</v>
      </c>
    </row>
    <row r="51" spans="1:16" x14ac:dyDescent="0.35">
      <c r="A51" s="5" t="str">
        <f>HYPERLINK("https://tienda.tarracoimportexport.com/index.php?id_product=9478&amp;controller=product&amp;id_lang=4", "TR010546")</f>
        <v>TR010546</v>
      </c>
      <c r="B51" t="s">
        <v>216</v>
      </c>
      <c r="D51" s="4">
        <v>27378</v>
      </c>
      <c r="E51" t="s">
        <v>217</v>
      </c>
      <c r="F51" t="s">
        <v>16</v>
      </c>
      <c r="G51" t="s">
        <v>39</v>
      </c>
      <c r="H51">
        <v>19</v>
      </c>
      <c r="I51">
        <v>456</v>
      </c>
      <c r="J51" t="s">
        <v>213</v>
      </c>
      <c r="K51" s="17">
        <v>0.89</v>
      </c>
      <c r="L51" s="3">
        <f t="shared" si="0"/>
        <v>0</v>
      </c>
      <c r="N51" t="s">
        <v>218</v>
      </c>
      <c r="O51" t="s">
        <v>215</v>
      </c>
      <c r="P51">
        <v>9.57</v>
      </c>
    </row>
    <row r="52" spans="1:16" x14ac:dyDescent="0.35">
      <c r="A52" s="5" t="str">
        <f>HYPERLINK("https://tienda.tarracoimportexport.com/index.php?id_product=6716&amp;controller=product&amp;id_lang=4", "TR007827")</f>
        <v>TR007827</v>
      </c>
      <c r="B52" t="s">
        <v>219</v>
      </c>
      <c r="D52" s="4">
        <v>19992</v>
      </c>
      <c r="E52" t="s">
        <v>220</v>
      </c>
      <c r="F52" t="s">
        <v>16</v>
      </c>
      <c r="G52" t="s">
        <v>39</v>
      </c>
      <c r="H52">
        <v>19</v>
      </c>
      <c r="I52">
        <v>456</v>
      </c>
      <c r="J52" t="s">
        <v>213</v>
      </c>
      <c r="K52" s="17">
        <v>0.89</v>
      </c>
      <c r="L52" s="3">
        <f t="shared" si="0"/>
        <v>0</v>
      </c>
      <c r="N52" t="s">
        <v>221</v>
      </c>
      <c r="O52" t="s">
        <v>215</v>
      </c>
      <c r="P52">
        <v>9.5250000000000004</v>
      </c>
    </row>
    <row r="53" spans="1:16" x14ac:dyDescent="0.35">
      <c r="A53" s="5" t="str">
        <f>HYPERLINK("https://tienda.tarracoimportexport.com/index.php?id_product=8654&amp;controller=product&amp;id_lang=4", "TR009789")</f>
        <v>TR009789</v>
      </c>
      <c r="B53" t="s">
        <v>222</v>
      </c>
      <c r="D53" s="4">
        <v>8712</v>
      </c>
      <c r="E53" t="s">
        <v>223</v>
      </c>
      <c r="F53" t="s">
        <v>16</v>
      </c>
      <c r="G53" t="s">
        <v>56</v>
      </c>
      <c r="H53">
        <v>10</v>
      </c>
      <c r="I53">
        <v>360</v>
      </c>
      <c r="J53" t="s">
        <v>186</v>
      </c>
      <c r="K53" s="17">
        <v>1.2</v>
      </c>
      <c r="L53" s="3">
        <f t="shared" si="0"/>
        <v>0</v>
      </c>
      <c r="N53" t="s">
        <v>224</v>
      </c>
      <c r="O53" t="s">
        <v>225</v>
      </c>
      <c r="P53">
        <v>18.920000000000002</v>
      </c>
    </row>
    <row r="54" spans="1:16" x14ac:dyDescent="0.35">
      <c r="A54" s="5" t="str">
        <f>HYPERLINK("https://tienda.tarracoimportexport.com/index.php?id_product=8652&amp;controller=product&amp;id_lang=4", "TR009787")</f>
        <v>TR009787</v>
      </c>
      <c r="B54" t="s">
        <v>226</v>
      </c>
      <c r="D54" s="4">
        <v>12105</v>
      </c>
      <c r="E54" t="s">
        <v>227</v>
      </c>
      <c r="F54" t="s">
        <v>16</v>
      </c>
      <c r="G54" t="s">
        <v>56</v>
      </c>
      <c r="H54">
        <v>10</v>
      </c>
      <c r="I54">
        <v>360</v>
      </c>
      <c r="J54" t="s">
        <v>186</v>
      </c>
      <c r="K54" s="17">
        <v>1.2</v>
      </c>
      <c r="L54" s="3">
        <f t="shared" si="0"/>
        <v>0</v>
      </c>
      <c r="N54" t="s">
        <v>228</v>
      </c>
      <c r="O54" t="s">
        <v>225</v>
      </c>
      <c r="P54">
        <v>18.78</v>
      </c>
    </row>
    <row r="55" spans="1:16" x14ac:dyDescent="0.35">
      <c r="A55" s="5" t="str">
        <f>HYPERLINK("https://tienda.tarracoimportexport.com/index.php?id_product=8655&amp;controller=product&amp;id_lang=4", "TR009790")</f>
        <v>TR009790</v>
      </c>
      <c r="B55" t="s">
        <v>229</v>
      </c>
      <c r="D55" s="4">
        <v>3951</v>
      </c>
      <c r="E55" t="s">
        <v>230</v>
      </c>
      <c r="F55" t="s">
        <v>16</v>
      </c>
      <c r="G55" t="s">
        <v>56</v>
      </c>
      <c r="H55">
        <v>10</v>
      </c>
      <c r="I55">
        <v>360</v>
      </c>
      <c r="J55" t="s">
        <v>186</v>
      </c>
      <c r="K55" s="17">
        <v>1.2</v>
      </c>
      <c r="L55" s="3">
        <f t="shared" si="0"/>
        <v>0</v>
      </c>
      <c r="N55" t="s">
        <v>231</v>
      </c>
      <c r="O55" t="s">
        <v>225</v>
      </c>
      <c r="P55">
        <v>18.864999999999998</v>
      </c>
    </row>
    <row r="56" spans="1:16" x14ac:dyDescent="0.35">
      <c r="A56" s="5" t="str">
        <f>HYPERLINK("https://tienda.tarracoimportexport.com/index.php?id_product=8653&amp;controller=product&amp;id_lang=4", "TR009788")</f>
        <v>TR009788</v>
      </c>
      <c r="B56" t="s">
        <v>232</v>
      </c>
      <c r="D56" s="4">
        <v>3087</v>
      </c>
      <c r="E56" t="s">
        <v>233</v>
      </c>
      <c r="F56" t="s">
        <v>16</v>
      </c>
      <c r="G56" t="s">
        <v>56</v>
      </c>
      <c r="H56">
        <v>10</v>
      </c>
      <c r="I56">
        <v>360</v>
      </c>
      <c r="J56" t="s">
        <v>186</v>
      </c>
      <c r="K56" s="17">
        <v>1.2</v>
      </c>
      <c r="L56" s="3">
        <f t="shared" si="0"/>
        <v>0</v>
      </c>
      <c r="N56" t="s">
        <v>234</v>
      </c>
      <c r="O56" t="s">
        <v>225</v>
      </c>
      <c r="P56">
        <v>18.760000000000002</v>
      </c>
    </row>
    <row r="57" spans="1:16" x14ac:dyDescent="0.35">
      <c r="A57" s="5" t="str">
        <f>HYPERLINK("https://tienda.tarracoimportexport.com/index.php?id_product=9596&amp;controller=product&amp;id_lang=4", "TR010653")</f>
        <v>TR010653</v>
      </c>
      <c r="B57" t="s">
        <v>235</v>
      </c>
      <c r="D57" s="4">
        <v>14544</v>
      </c>
      <c r="E57" t="s">
        <v>236</v>
      </c>
      <c r="F57" t="s">
        <v>237</v>
      </c>
      <c r="G57" t="s">
        <v>39</v>
      </c>
      <c r="H57">
        <v>29</v>
      </c>
      <c r="I57">
        <v>870</v>
      </c>
      <c r="J57" t="s">
        <v>126</v>
      </c>
      <c r="K57" s="17">
        <v>1.19</v>
      </c>
      <c r="L57" s="3">
        <f t="shared" si="0"/>
        <v>0</v>
      </c>
      <c r="N57" t="s">
        <v>238</v>
      </c>
      <c r="O57" t="s">
        <v>239</v>
      </c>
      <c r="P57">
        <v>3.7549999999999999</v>
      </c>
    </row>
    <row r="58" spans="1:16" x14ac:dyDescent="0.35">
      <c r="A58" s="5" t="str">
        <f>HYPERLINK("https://tienda.tarracoimportexport.com/index.php?id_product=8796&amp;controller=product&amp;id_lang=4", "TR009907")</f>
        <v>TR009907</v>
      </c>
      <c r="B58" t="s">
        <v>240</v>
      </c>
      <c r="D58" s="4">
        <v>5048</v>
      </c>
      <c r="E58" t="s">
        <v>241</v>
      </c>
      <c r="F58" t="s">
        <v>16</v>
      </c>
      <c r="G58" t="s">
        <v>242</v>
      </c>
      <c r="H58">
        <v>11</v>
      </c>
      <c r="I58">
        <v>176</v>
      </c>
      <c r="J58" t="s">
        <v>243</v>
      </c>
      <c r="K58" s="17">
        <v>2.1800000000000002</v>
      </c>
      <c r="L58" s="3">
        <f t="shared" si="0"/>
        <v>0</v>
      </c>
      <c r="N58" t="s">
        <v>244</v>
      </c>
      <c r="O58" t="s">
        <v>245</v>
      </c>
      <c r="P58">
        <v>17.37</v>
      </c>
    </row>
    <row r="59" spans="1:16" x14ac:dyDescent="0.35">
      <c r="A59" s="5" t="str">
        <f>HYPERLINK("https://tienda.tarracoimportexport.com/index.php?id_product=10750&amp;controller=product&amp;id_lang=4", "TR011712")</f>
        <v>TR011712</v>
      </c>
      <c r="B59" t="s">
        <v>246</v>
      </c>
      <c r="D59" s="4">
        <v>2856</v>
      </c>
      <c r="E59" t="s">
        <v>241</v>
      </c>
      <c r="F59" t="s">
        <v>16</v>
      </c>
      <c r="G59" t="s">
        <v>242</v>
      </c>
      <c r="H59">
        <v>11</v>
      </c>
      <c r="I59">
        <v>176</v>
      </c>
      <c r="J59" t="s">
        <v>243</v>
      </c>
      <c r="K59" s="17">
        <v>2.1800000000000002</v>
      </c>
      <c r="L59" s="3">
        <f t="shared" si="0"/>
        <v>0</v>
      </c>
      <c r="N59" t="s">
        <v>247</v>
      </c>
      <c r="O59" t="s">
        <v>245</v>
      </c>
      <c r="P59">
        <v>17.350000000000001</v>
      </c>
    </row>
    <row r="60" spans="1:16" x14ac:dyDescent="0.35">
      <c r="A60" s="5" t="str">
        <f>HYPERLINK("https://tienda.tarracoimportexport.com/index.php?id_product=10703&amp;controller=product&amp;id_lang=4", "TR011676")</f>
        <v>TR011676</v>
      </c>
      <c r="B60" t="s">
        <v>248</v>
      </c>
      <c r="D60" s="4">
        <v>1660</v>
      </c>
      <c r="E60" t="s">
        <v>241</v>
      </c>
      <c r="F60" t="s">
        <v>16</v>
      </c>
      <c r="G60" t="s">
        <v>242</v>
      </c>
      <c r="H60">
        <v>11</v>
      </c>
      <c r="I60">
        <v>176</v>
      </c>
      <c r="J60" t="s">
        <v>243</v>
      </c>
      <c r="K60" s="17">
        <v>2.1800000000000002</v>
      </c>
      <c r="L60" s="3">
        <f t="shared" si="0"/>
        <v>0</v>
      </c>
      <c r="N60" t="s">
        <v>249</v>
      </c>
      <c r="O60" t="s">
        <v>250</v>
      </c>
      <c r="P60">
        <v>17.32</v>
      </c>
    </row>
    <row r="61" spans="1:16" x14ac:dyDescent="0.35">
      <c r="A61" s="5" t="str">
        <f>HYPERLINK("https://tienda.tarracoimportexport.com/index.php?id_product=8794&amp;controller=product&amp;id_lang=4", "TR009905")</f>
        <v>TR009905</v>
      </c>
      <c r="B61" t="s">
        <v>251</v>
      </c>
      <c r="D61" s="4">
        <v>4072</v>
      </c>
      <c r="E61" t="s">
        <v>252</v>
      </c>
      <c r="F61" t="s">
        <v>16</v>
      </c>
      <c r="G61" t="s">
        <v>242</v>
      </c>
      <c r="H61">
        <v>11</v>
      </c>
      <c r="I61">
        <v>176</v>
      </c>
      <c r="J61" t="s">
        <v>243</v>
      </c>
      <c r="K61" s="17">
        <v>2.1800000000000002</v>
      </c>
      <c r="L61" s="3">
        <f t="shared" si="0"/>
        <v>0</v>
      </c>
      <c r="N61" t="s">
        <v>253</v>
      </c>
      <c r="O61" t="s">
        <v>245</v>
      </c>
      <c r="P61">
        <v>17.414999999999999</v>
      </c>
    </row>
    <row r="62" spans="1:16" x14ac:dyDescent="0.35">
      <c r="A62" s="5" t="str">
        <f>HYPERLINK("https://tienda.tarracoimportexport.com/index.php?id_product=8407&amp;controller=product&amp;id_lang=4", "TR009549")</f>
        <v>TR009549</v>
      </c>
      <c r="B62" t="s">
        <v>254</v>
      </c>
      <c r="D62" s="4">
        <v>3092</v>
      </c>
      <c r="E62" t="s">
        <v>252</v>
      </c>
      <c r="F62" t="s">
        <v>16</v>
      </c>
      <c r="G62" t="s">
        <v>242</v>
      </c>
      <c r="H62">
        <v>11</v>
      </c>
      <c r="I62">
        <v>176</v>
      </c>
      <c r="J62" t="s">
        <v>243</v>
      </c>
      <c r="K62" s="17">
        <v>2.12</v>
      </c>
      <c r="L62" s="3">
        <f t="shared" si="0"/>
        <v>0</v>
      </c>
      <c r="N62" t="s">
        <v>255</v>
      </c>
      <c r="O62" t="s">
        <v>250</v>
      </c>
      <c r="P62">
        <v>17.489999999999998</v>
      </c>
    </row>
    <row r="63" spans="1:16" x14ac:dyDescent="0.35">
      <c r="A63" s="5" t="str">
        <f>HYPERLINK("https://tienda.tarracoimportexport.com/index.php?id_product=10625&amp;controller=product&amp;id_lang=4", "TR011600")</f>
        <v>TR011600</v>
      </c>
      <c r="B63" t="s">
        <v>256</v>
      </c>
      <c r="D63" s="4">
        <v>8360</v>
      </c>
      <c r="E63" t="s">
        <v>257</v>
      </c>
      <c r="F63" t="s">
        <v>16</v>
      </c>
      <c r="G63" t="s">
        <v>242</v>
      </c>
      <c r="H63">
        <v>11</v>
      </c>
      <c r="I63">
        <v>176</v>
      </c>
      <c r="J63" t="s">
        <v>243</v>
      </c>
      <c r="K63" s="17">
        <v>2.1800000000000002</v>
      </c>
      <c r="L63" s="3">
        <f t="shared" si="0"/>
        <v>0</v>
      </c>
      <c r="N63" t="s">
        <v>258</v>
      </c>
      <c r="O63" t="s">
        <v>245</v>
      </c>
      <c r="P63">
        <v>17.34</v>
      </c>
    </row>
    <row r="64" spans="1:16" x14ac:dyDescent="0.35">
      <c r="A64" s="5" t="str">
        <f>HYPERLINK("https://tienda.tarracoimportexport.com/index.php?id_product=8656&amp;controller=product&amp;id_lang=4", "TR009791")</f>
        <v>TR009791</v>
      </c>
      <c r="B64" t="s">
        <v>259</v>
      </c>
      <c r="D64" s="4">
        <v>5576</v>
      </c>
      <c r="E64" t="s">
        <v>257</v>
      </c>
      <c r="F64" t="s">
        <v>16</v>
      </c>
      <c r="G64" t="s">
        <v>242</v>
      </c>
      <c r="H64">
        <v>11</v>
      </c>
      <c r="I64">
        <v>176</v>
      </c>
      <c r="J64" t="s">
        <v>243</v>
      </c>
      <c r="K64" s="17">
        <v>2.12</v>
      </c>
      <c r="L64" s="3">
        <f t="shared" si="0"/>
        <v>0</v>
      </c>
      <c r="N64" t="s">
        <v>260</v>
      </c>
      <c r="O64" t="s">
        <v>261</v>
      </c>
      <c r="P64">
        <v>17.38</v>
      </c>
    </row>
    <row r="65" spans="1:16" x14ac:dyDescent="0.35">
      <c r="A65" s="5" t="str">
        <f>HYPERLINK("https://tienda.tarracoimportexport.com/index.php?id_product=10649&amp;controller=product&amp;id_lang=4", "TR011624")</f>
        <v>TR011624</v>
      </c>
      <c r="B65" t="s">
        <v>262</v>
      </c>
      <c r="D65" s="4">
        <v>1920</v>
      </c>
      <c r="E65" t="s">
        <v>263</v>
      </c>
      <c r="F65" t="s">
        <v>16</v>
      </c>
      <c r="G65" t="s">
        <v>242</v>
      </c>
      <c r="H65">
        <v>11</v>
      </c>
      <c r="I65">
        <v>176</v>
      </c>
      <c r="J65" t="s">
        <v>243</v>
      </c>
      <c r="K65" s="17">
        <v>2.1800000000000002</v>
      </c>
      <c r="L65" s="3">
        <f t="shared" si="0"/>
        <v>0</v>
      </c>
      <c r="N65" t="s">
        <v>264</v>
      </c>
      <c r="O65" t="s">
        <v>245</v>
      </c>
      <c r="P65">
        <v>17.43</v>
      </c>
    </row>
    <row r="66" spans="1:16" x14ac:dyDescent="0.35">
      <c r="A66" s="5" t="str">
        <f>HYPERLINK("https://tienda.tarracoimportexport.com/index.php?id_product=8173&amp;controller=product&amp;id_lang=4", "TR009328")</f>
        <v>TR009328</v>
      </c>
      <c r="B66" t="s">
        <v>262</v>
      </c>
      <c r="D66" s="4">
        <v>1428</v>
      </c>
      <c r="E66" t="s">
        <v>263</v>
      </c>
      <c r="F66" t="s">
        <v>16</v>
      </c>
      <c r="G66" t="s">
        <v>242</v>
      </c>
      <c r="H66">
        <v>11</v>
      </c>
      <c r="I66">
        <v>176</v>
      </c>
      <c r="J66" t="s">
        <v>243</v>
      </c>
      <c r="K66" s="17">
        <v>2.12</v>
      </c>
      <c r="L66" s="3">
        <f t="shared" si="0"/>
        <v>0</v>
      </c>
      <c r="N66" t="s">
        <v>265</v>
      </c>
      <c r="O66" t="s">
        <v>245</v>
      </c>
      <c r="P66">
        <v>17.48</v>
      </c>
    </row>
    <row r="67" spans="1:16" x14ac:dyDescent="0.35">
      <c r="A67" s="5" t="str">
        <f>HYPERLINK("https://tienda.tarracoimportexport.com/index.php?id_product=10756&amp;controller=product&amp;id_lang=4", "TR011715")</f>
        <v>TR011715</v>
      </c>
      <c r="B67" t="s">
        <v>266</v>
      </c>
      <c r="D67" s="4">
        <v>7592</v>
      </c>
      <c r="E67" t="s">
        <v>263</v>
      </c>
      <c r="F67" t="s">
        <v>16</v>
      </c>
      <c r="G67" t="s">
        <v>242</v>
      </c>
      <c r="H67">
        <v>11</v>
      </c>
      <c r="I67">
        <v>176</v>
      </c>
      <c r="J67" t="s">
        <v>243</v>
      </c>
      <c r="K67" s="17">
        <v>2.1800000000000002</v>
      </c>
      <c r="L67" s="3">
        <f t="shared" si="0"/>
        <v>0</v>
      </c>
      <c r="N67" t="s">
        <v>267</v>
      </c>
      <c r="O67" t="s">
        <v>250</v>
      </c>
      <c r="P67">
        <v>17.454999999999998</v>
      </c>
    </row>
    <row r="68" spans="1:16" x14ac:dyDescent="0.35">
      <c r="A68" s="5" t="str">
        <f>HYPERLINK("https://tienda.tarracoimportexport.com/index.php?id_product=9083&amp;controller=product&amp;id_lang=4", "TR010167")</f>
        <v>TR010167</v>
      </c>
      <c r="B68" t="s">
        <v>266</v>
      </c>
      <c r="D68" s="4">
        <v>1944</v>
      </c>
      <c r="E68" t="s">
        <v>263</v>
      </c>
      <c r="F68" t="s">
        <v>16</v>
      </c>
      <c r="G68" t="s">
        <v>242</v>
      </c>
      <c r="H68">
        <v>11</v>
      </c>
      <c r="I68">
        <v>176</v>
      </c>
      <c r="J68" t="s">
        <v>243</v>
      </c>
      <c r="K68" s="17">
        <v>2.12</v>
      </c>
      <c r="L68" s="3">
        <f t="shared" si="0"/>
        <v>0</v>
      </c>
      <c r="N68" t="s">
        <v>268</v>
      </c>
      <c r="O68" t="s">
        <v>250</v>
      </c>
      <c r="P68">
        <v>17.559999999999999</v>
      </c>
    </row>
    <row r="69" spans="1:16" x14ac:dyDescent="0.35">
      <c r="A69" s="5" t="str">
        <f>HYPERLINK("https://tienda.tarracoimportexport.com/index.php?id_product=10639&amp;controller=product&amp;id_lang=4", "TR011614")</f>
        <v>TR011614</v>
      </c>
      <c r="B69" t="s">
        <v>269</v>
      </c>
      <c r="D69" s="4">
        <v>8764</v>
      </c>
      <c r="E69" t="s">
        <v>270</v>
      </c>
      <c r="F69" t="s">
        <v>16</v>
      </c>
      <c r="G69" t="s">
        <v>242</v>
      </c>
      <c r="H69">
        <v>11</v>
      </c>
      <c r="I69">
        <v>176</v>
      </c>
      <c r="J69" t="s">
        <v>243</v>
      </c>
      <c r="K69" s="17">
        <v>2.1800000000000002</v>
      </c>
      <c r="L69" s="3">
        <f t="shared" ref="L69:L120" si="1">K69*C69</f>
        <v>0</v>
      </c>
      <c r="N69" t="s">
        <v>271</v>
      </c>
      <c r="O69" t="s">
        <v>272</v>
      </c>
      <c r="P69">
        <v>17.475000000000001</v>
      </c>
    </row>
    <row r="70" spans="1:16" x14ac:dyDescent="0.35">
      <c r="A70" s="5" t="str">
        <f>HYPERLINK("https://tienda.tarracoimportexport.com/index.php?id_product=10647&amp;controller=product&amp;id_lang=4", "TR011622")</f>
        <v>TR011622</v>
      </c>
      <c r="B70" t="s">
        <v>273</v>
      </c>
      <c r="D70" s="4">
        <v>5612</v>
      </c>
      <c r="E70" t="s">
        <v>270</v>
      </c>
      <c r="F70" t="s">
        <v>16</v>
      </c>
      <c r="G70" t="s">
        <v>242</v>
      </c>
      <c r="H70">
        <v>11</v>
      </c>
      <c r="I70">
        <v>176</v>
      </c>
      <c r="J70" t="s">
        <v>243</v>
      </c>
      <c r="K70" s="17">
        <v>2.1800000000000002</v>
      </c>
      <c r="L70" s="3">
        <f t="shared" si="1"/>
        <v>0</v>
      </c>
      <c r="N70" t="s">
        <v>274</v>
      </c>
      <c r="O70" t="s">
        <v>245</v>
      </c>
      <c r="P70">
        <v>17.37</v>
      </c>
    </row>
    <row r="71" spans="1:16" x14ac:dyDescent="0.35">
      <c r="A71" s="5" t="str">
        <f>HYPERLINK("https://tienda.tarracoimportexport.com/index.php?id_product=10492&amp;controller=product&amp;id_lang=4", "TR011474")</f>
        <v>TR011474</v>
      </c>
      <c r="B71" t="s">
        <v>275</v>
      </c>
      <c r="D71" s="4">
        <v>6104</v>
      </c>
      <c r="E71" t="s">
        <v>276</v>
      </c>
      <c r="F71" t="s">
        <v>16</v>
      </c>
      <c r="G71" t="s">
        <v>242</v>
      </c>
      <c r="H71">
        <v>11</v>
      </c>
      <c r="I71">
        <v>176</v>
      </c>
      <c r="J71" t="s">
        <v>243</v>
      </c>
      <c r="K71" s="17">
        <v>2.1800000000000002</v>
      </c>
      <c r="L71" s="3">
        <f t="shared" si="1"/>
        <v>0</v>
      </c>
      <c r="N71" t="s">
        <v>277</v>
      </c>
      <c r="O71" t="s">
        <v>250</v>
      </c>
      <c r="P71">
        <v>17.350000000000001</v>
      </c>
    </row>
    <row r="72" spans="1:16" x14ac:dyDescent="0.35">
      <c r="A72" s="5" t="str">
        <f>HYPERLINK("https://tienda.tarracoimportexport.com/index.php?id_product=10517&amp;controller=product&amp;id_lang=4", "TR011494")</f>
        <v>TR011494</v>
      </c>
      <c r="B72" t="s">
        <v>278</v>
      </c>
      <c r="D72" s="4">
        <v>1068</v>
      </c>
      <c r="E72" t="s">
        <v>276</v>
      </c>
      <c r="F72" t="s">
        <v>16</v>
      </c>
      <c r="G72" t="s">
        <v>242</v>
      </c>
      <c r="H72">
        <v>11</v>
      </c>
      <c r="I72">
        <v>176</v>
      </c>
      <c r="J72" t="s">
        <v>243</v>
      </c>
      <c r="K72" s="17">
        <v>2.1800000000000002</v>
      </c>
      <c r="L72" s="3">
        <f t="shared" si="1"/>
        <v>0</v>
      </c>
      <c r="N72" t="s">
        <v>279</v>
      </c>
      <c r="O72" t="s">
        <v>245</v>
      </c>
      <c r="P72">
        <v>17.385000000000002</v>
      </c>
    </row>
    <row r="73" spans="1:16" x14ac:dyDescent="0.35">
      <c r="A73" s="5" t="str">
        <f>HYPERLINK("https://tienda.tarracoimportexport.com/index.php?id_product=6449&amp;controller=product&amp;id_lang=4", "TR007573")</f>
        <v>TR007573</v>
      </c>
      <c r="B73" t="s">
        <v>280</v>
      </c>
      <c r="D73" s="4">
        <v>47848</v>
      </c>
      <c r="E73" t="s">
        <v>281</v>
      </c>
      <c r="F73" t="s">
        <v>16</v>
      </c>
      <c r="G73" t="s">
        <v>62</v>
      </c>
      <c r="H73">
        <v>16</v>
      </c>
      <c r="I73">
        <v>640</v>
      </c>
      <c r="J73" t="s">
        <v>140</v>
      </c>
      <c r="K73" s="17">
        <v>1.03</v>
      </c>
      <c r="L73" s="3">
        <f t="shared" si="1"/>
        <v>0</v>
      </c>
      <c r="N73" t="s">
        <v>282</v>
      </c>
      <c r="O73" t="s">
        <v>99</v>
      </c>
      <c r="P73">
        <v>8.9149999999999991</v>
      </c>
    </row>
    <row r="74" spans="1:16" x14ac:dyDescent="0.35">
      <c r="A74" s="5" t="str">
        <f>HYPERLINK("https://tienda.tarracoimportexport.com/index.php?id_product=8416&amp;controller=product&amp;id_lang=4", "TR009558")</f>
        <v>TR009558</v>
      </c>
      <c r="B74" t="s">
        <v>283</v>
      </c>
      <c r="D74" s="4">
        <v>7332</v>
      </c>
      <c r="E74" t="s">
        <v>284</v>
      </c>
      <c r="F74" t="s">
        <v>16</v>
      </c>
      <c r="G74" t="s">
        <v>50</v>
      </c>
      <c r="H74">
        <v>1</v>
      </c>
      <c r="I74">
        <v>324</v>
      </c>
      <c r="J74" t="s">
        <v>285</v>
      </c>
      <c r="K74" s="17">
        <v>1.25</v>
      </c>
      <c r="L74" s="3">
        <f t="shared" si="1"/>
        <v>0</v>
      </c>
      <c r="N74" t="s">
        <v>286</v>
      </c>
      <c r="O74" t="s">
        <v>287</v>
      </c>
      <c r="P74">
        <v>0.5</v>
      </c>
    </row>
    <row r="75" spans="1:16" x14ac:dyDescent="0.35">
      <c r="A75" s="5" t="str">
        <f>HYPERLINK("https://tienda.tarracoimportexport.com/index.php?id_product=8485&amp;controller=product&amp;id_lang=4", "TR009626")</f>
        <v>TR009626</v>
      </c>
      <c r="B75" t="s">
        <v>288</v>
      </c>
      <c r="D75" s="4">
        <v>8128</v>
      </c>
      <c r="E75" t="s">
        <v>289</v>
      </c>
      <c r="F75" t="s">
        <v>16</v>
      </c>
      <c r="G75" t="s">
        <v>290</v>
      </c>
      <c r="H75">
        <v>8</v>
      </c>
      <c r="I75">
        <v>768</v>
      </c>
      <c r="J75" t="s">
        <v>202</v>
      </c>
      <c r="K75" s="17">
        <v>0.9</v>
      </c>
      <c r="L75" s="3">
        <f t="shared" si="1"/>
        <v>0</v>
      </c>
      <c r="N75" t="s">
        <v>291</v>
      </c>
      <c r="O75" t="s">
        <v>292</v>
      </c>
      <c r="P75">
        <v>17.37</v>
      </c>
    </row>
    <row r="76" spans="1:16" x14ac:dyDescent="0.35">
      <c r="A76" s="5" t="str">
        <f>HYPERLINK("https://tienda.tarracoimportexport.com/index.php?id_product=9320&amp;controller=product&amp;id_lang=4", "TR010393")</f>
        <v>TR010393</v>
      </c>
      <c r="B76" t="s">
        <v>293</v>
      </c>
      <c r="D76" s="4">
        <v>6976</v>
      </c>
      <c r="E76" t="s">
        <v>294</v>
      </c>
      <c r="F76" t="s">
        <v>16</v>
      </c>
      <c r="G76" t="s">
        <v>290</v>
      </c>
      <c r="H76">
        <v>8</v>
      </c>
      <c r="I76">
        <v>768</v>
      </c>
      <c r="J76" t="s">
        <v>202</v>
      </c>
      <c r="K76" s="17">
        <v>0.9</v>
      </c>
      <c r="L76" s="3">
        <f t="shared" si="1"/>
        <v>0</v>
      </c>
      <c r="N76" t="s">
        <v>295</v>
      </c>
      <c r="O76" t="s">
        <v>292</v>
      </c>
      <c r="P76">
        <v>17.489999999999998</v>
      </c>
    </row>
    <row r="77" spans="1:16" x14ac:dyDescent="0.35">
      <c r="A77" s="5" t="str">
        <f>HYPERLINK("https://tienda.tarracoimportexport.com/index.php?id_product=10108&amp;controller=product&amp;id_lang=4", "TR011147")</f>
        <v>TR011147</v>
      </c>
      <c r="B77" t="s">
        <v>296</v>
      </c>
      <c r="D77" s="4">
        <v>25392</v>
      </c>
      <c r="E77" t="s">
        <v>297</v>
      </c>
      <c r="F77" t="s">
        <v>16</v>
      </c>
      <c r="G77" t="s">
        <v>106</v>
      </c>
      <c r="H77">
        <v>6</v>
      </c>
      <c r="I77">
        <v>1584</v>
      </c>
      <c r="J77" t="s">
        <v>107</v>
      </c>
      <c r="K77" s="17">
        <v>0.75</v>
      </c>
      <c r="L77" s="3">
        <f t="shared" si="1"/>
        <v>0</v>
      </c>
      <c r="N77" t="s">
        <v>298</v>
      </c>
      <c r="O77" t="s">
        <v>177</v>
      </c>
      <c r="P77">
        <v>3.875</v>
      </c>
    </row>
    <row r="78" spans="1:16" x14ac:dyDescent="0.35">
      <c r="A78" s="5" t="str">
        <f>HYPERLINK("https://tienda.tarracoimportexport.com/index.php?id_product=9505&amp;controller=product&amp;id_lang=4", "TR010570")</f>
        <v>TR010570</v>
      </c>
      <c r="B78" t="s">
        <v>299</v>
      </c>
      <c r="D78" s="4">
        <v>29370</v>
      </c>
      <c r="E78" t="s">
        <v>300</v>
      </c>
      <c r="F78" t="s">
        <v>16</v>
      </c>
      <c r="G78" t="s">
        <v>180</v>
      </c>
      <c r="H78">
        <v>9</v>
      </c>
      <c r="I78">
        <v>675</v>
      </c>
      <c r="J78" t="s">
        <v>301</v>
      </c>
      <c r="K78" s="17">
        <v>0.72</v>
      </c>
      <c r="L78" s="3">
        <f t="shared" si="1"/>
        <v>0</v>
      </c>
      <c r="N78" t="s">
        <v>302</v>
      </c>
      <c r="O78" t="s">
        <v>303</v>
      </c>
      <c r="P78">
        <v>16</v>
      </c>
    </row>
    <row r="79" spans="1:16" x14ac:dyDescent="0.35">
      <c r="A79" s="5" t="str">
        <f>HYPERLINK("https://tienda.tarracoimportexport.com/index.php?id_product=9046&amp;controller=product&amp;id_lang=4", "TR010130")</f>
        <v>TR010130</v>
      </c>
      <c r="B79" t="s">
        <v>304</v>
      </c>
      <c r="D79" s="4">
        <v>20678</v>
      </c>
      <c r="E79" t="s">
        <v>305</v>
      </c>
      <c r="F79" t="s">
        <v>16</v>
      </c>
      <c r="G79" t="s">
        <v>306</v>
      </c>
      <c r="H79">
        <v>1</v>
      </c>
      <c r="I79">
        <v>329</v>
      </c>
      <c r="J79" t="s">
        <v>307</v>
      </c>
      <c r="K79" s="17">
        <v>1.38</v>
      </c>
      <c r="L79" s="3">
        <f t="shared" si="1"/>
        <v>0</v>
      </c>
      <c r="N79" t="s">
        <v>308</v>
      </c>
      <c r="O79" t="s">
        <v>287</v>
      </c>
      <c r="P79">
        <v>4.3099999999999996</v>
      </c>
    </row>
    <row r="80" spans="1:16" x14ac:dyDescent="0.35">
      <c r="A80" s="5" t="str">
        <f>HYPERLINK("https://tienda.tarracoimportexport.com/index.php?id_product=7216&amp;controller=product&amp;id_lang=4", "TR008404")</f>
        <v>TR008404</v>
      </c>
      <c r="B80" t="s">
        <v>309</v>
      </c>
      <c r="D80" s="4">
        <v>2142</v>
      </c>
      <c r="E80" t="s">
        <v>310</v>
      </c>
      <c r="F80" t="s">
        <v>16</v>
      </c>
      <c r="G80" t="s">
        <v>39</v>
      </c>
      <c r="H80">
        <v>21</v>
      </c>
      <c r="I80">
        <v>630</v>
      </c>
      <c r="J80" t="s">
        <v>311</v>
      </c>
      <c r="K80" s="17">
        <v>1.19</v>
      </c>
      <c r="L80" s="3">
        <f t="shared" si="1"/>
        <v>0</v>
      </c>
      <c r="N80" t="s">
        <v>312</v>
      </c>
      <c r="O80" t="s">
        <v>42</v>
      </c>
      <c r="P80">
        <v>0.71499999999999997</v>
      </c>
    </row>
    <row r="81" spans="1:16" x14ac:dyDescent="0.35">
      <c r="A81" s="5" t="str">
        <f>HYPERLINK("https://tienda.tarracoimportexport.com/index.php?id_product=9067&amp;controller=product&amp;id_lang=4", "TR010151")</f>
        <v>TR010151</v>
      </c>
      <c r="B81" t="s">
        <v>313</v>
      </c>
      <c r="D81" s="4">
        <v>3570</v>
      </c>
      <c r="E81" t="s">
        <v>314</v>
      </c>
      <c r="F81" t="s">
        <v>16</v>
      </c>
      <c r="G81" t="s">
        <v>27</v>
      </c>
      <c r="H81">
        <v>12</v>
      </c>
      <c r="I81">
        <v>720</v>
      </c>
      <c r="J81" t="s">
        <v>94</v>
      </c>
      <c r="K81" s="17">
        <v>1.19</v>
      </c>
      <c r="L81" s="3">
        <f t="shared" si="1"/>
        <v>0</v>
      </c>
      <c r="N81" t="s">
        <v>315</v>
      </c>
      <c r="O81" t="s">
        <v>42</v>
      </c>
      <c r="P81">
        <v>1.1299999999999999</v>
      </c>
    </row>
    <row r="82" spans="1:16" x14ac:dyDescent="0.35">
      <c r="A82" s="5" t="str">
        <f>HYPERLINK("https://tienda.tarracoimportexport.com/index.php?id_product=8222&amp;controller=product&amp;id_lang=4", "TR009372")</f>
        <v>TR009372</v>
      </c>
      <c r="B82" t="s">
        <v>316</v>
      </c>
      <c r="D82" s="4">
        <v>11952</v>
      </c>
      <c r="E82" t="s">
        <v>317</v>
      </c>
      <c r="F82" t="s">
        <v>318</v>
      </c>
      <c r="G82" t="s">
        <v>94</v>
      </c>
      <c r="H82">
        <v>10</v>
      </c>
      <c r="I82">
        <v>2880</v>
      </c>
      <c r="J82" t="s">
        <v>186</v>
      </c>
      <c r="K82" s="17">
        <v>1.25</v>
      </c>
      <c r="L82" s="3">
        <f t="shared" si="1"/>
        <v>0</v>
      </c>
      <c r="N82" t="s">
        <v>319</v>
      </c>
      <c r="O82" t="s">
        <v>320</v>
      </c>
      <c r="P82">
        <v>10.61</v>
      </c>
    </row>
    <row r="83" spans="1:16" x14ac:dyDescent="0.35">
      <c r="A83" s="5" t="str">
        <f>HYPERLINK("https://tienda.tarracoimportexport.com/index.php?id_product=8221&amp;controller=product&amp;id_lang=4", "TR009371")</f>
        <v>TR009371</v>
      </c>
      <c r="B83" t="s">
        <v>322</v>
      </c>
      <c r="D83" s="4">
        <v>8928</v>
      </c>
      <c r="E83" t="s">
        <v>323</v>
      </c>
      <c r="F83" t="s">
        <v>318</v>
      </c>
      <c r="G83" t="s">
        <v>94</v>
      </c>
      <c r="H83">
        <v>10</v>
      </c>
      <c r="I83">
        <v>2880</v>
      </c>
      <c r="J83" t="s">
        <v>186</v>
      </c>
      <c r="K83" s="17">
        <v>1.25</v>
      </c>
      <c r="L83" s="3">
        <f t="shared" si="1"/>
        <v>0</v>
      </c>
      <c r="N83" t="s">
        <v>324</v>
      </c>
      <c r="O83" t="s">
        <v>320</v>
      </c>
      <c r="P83">
        <v>10.5</v>
      </c>
    </row>
    <row r="84" spans="1:16" x14ac:dyDescent="0.35">
      <c r="A84" s="5" t="str">
        <f>HYPERLINK("https://tienda.tarracoimportexport.com/index.php?id_product=8220&amp;controller=product&amp;id_lang=4", "TR009370")</f>
        <v>TR009370</v>
      </c>
      <c r="B84" t="s">
        <v>325</v>
      </c>
      <c r="D84" s="4">
        <v>9576</v>
      </c>
      <c r="E84" t="s">
        <v>326</v>
      </c>
      <c r="F84" t="s">
        <v>318</v>
      </c>
      <c r="G84" t="s">
        <v>94</v>
      </c>
      <c r="H84">
        <v>10</v>
      </c>
      <c r="I84">
        <v>3600</v>
      </c>
      <c r="J84" t="s">
        <v>327</v>
      </c>
      <c r="K84" s="17">
        <v>1.25</v>
      </c>
      <c r="L84" s="3">
        <f t="shared" si="1"/>
        <v>0</v>
      </c>
      <c r="N84" t="s">
        <v>328</v>
      </c>
      <c r="O84" t="s">
        <v>320</v>
      </c>
      <c r="P84">
        <v>10.67</v>
      </c>
    </row>
    <row r="85" spans="1:16" x14ac:dyDescent="0.35">
      <c r="A85" s="5" t="str">
        <f>HYPERLINK("https://tienda.tarracoimportexport.com/index.php?id_product=8218&amp;controller=product&amp;id_lang=4", "TR009369")</f>
        <v>TR009369</v>
      </c>
      <c r="B85" t="s">
        <v>329</v>
      </c>
      <c r="D85" s="4">
        <v>7560</v>
      </c>
      <c r="E85" t="s">
        <v>330</v>
      </c>
      <c r="F85" t="s">
        <v>318</v>
      </c>
      <c r="G85" t="s">
        <v>94</v>
      </c>
      <c r="H85">
        <v>10</v>
      </c>
      <c r="I85">
        <v>3600</v>
      </c>
      <c r="J85" t="s">
        <v>327</v>
      </c>
      <c r="K85" s="17">
        <v>1.25</v>
      </c>
      <c r="L85" s="3">
        <f t="shared" si="1"/>
        <v>0</v>
      </c>
      <c r="N85" t="s">
        <v>331</v>
      </c>
      <c r="O85" t="s">
        <v>320</v>
      </c>
      <c r="P85">
        <v>10.56</v>
      </c>
    </row>
    <row r="86" spans="1:16" x14ac:dyDescent="0.35">
      <c r="A86" s="5" t="str">
        <f>HYPERLINK("https://tienda.tarracoimportexport.com/index.php?id_product=8224&amp;controller=product&amp;id_lang=4", "TR009374")</f>
        <v>TR009374</v>
      </c>
      <c r="B86" t="s">
        <v>332</v>
      </c>
      <c r="D86" s="4">
        <v>20376</v>
      </c>
      <c r="E86" t="s">
        <v>333</v>
      </c>
      <c r="F86" t="s">
        <v>318</v>
      </c>
      <c r="G86" t="s">
        <v>94</v>
      </c>
      <c r="H86">
        <v>7</v>
      </c>
      <c r="I86">
        <v>3024</v>
      </c>
      <c r="J86" t="s">
        <v>334</v>
      </c>
      <c r="K86" s="17">
        <v>1.25</v>
      </c>
      <c r="L86" s="3">
        <f t="shared" si="1"/>
        <v>0</v>
      </c>
      <c r="N86" t="s">
        <v>335</v>
      </c>
      <c r="O86" t="s">
        <v>320</v>
      </c>
      <c r="P86">
        <v>10.56</v>
      </c>
    </row>
    <row r="87" spans="1:16" x14ac:dyDescent="0.35">
      <c r="A87" s="5" t="str">
        <f>HYPERLINK("https://tienda.tarracoimportexport.com/index.php?id_product=8910&amp;controller=product&amp;id_lang=4", "TR009998")</f>
        <v>TR009998</v>
      </c>
      <c r="B87" t="s">
        <v>337</v>
      </c>
      <c r="D87" s="4">
        <v>5364</v>
      </c>
      <c r="E87" t="s">
        <v>338</v>
      </c>
      <c r="F87" t="s">
        <v>16</v>
      </c>
      <c r="G87" t="s">
        <v>50</v>
      </c>
      <c r="H87">
        <v>16</v>
      </c>
      <c r="I87">
        <v>1344</v>
      </c>
      <c r="J87" t="s">
        <v>336</v>
      </c>
      <c r="K87" s="17">
        <v>1.54</v>
      </c>
      <c r="L87" s="3">
        <f t="shared" si="1"/>
        <v>0</v>
      </c>
      <c r="N87" t="s">
        <v>339</v>
      </c>
      <c r="O87" t="s">
        <v>321</v>
      </c>
      <c r="P87">
        <v>5.56</v>
      </c>
    </row>
    <row r="88" spans="1:16" x14ac:dyDescent="0.35">
      <c r="A88" s="5" t="str">
        <f>HYPERLINK("https://tienda.tarracoimportexport.com/index.php?id_product=8909&amp;controller=product&amp;id_lang=4", "TR009997")</f>
        <v>TR009997</v>
      </c>
      <c r="B88" t="s">
        <v>340</v>
      </c>
      <c r="D88" s="4">
        <v>5376</v>
      </c>
      <c r="E88" t="s">
        <v>341</v>
      </c>
      <c r="F88" t="s">
        <v>16</v>
      </c>
      <c r="G88" t="s">
        <v>50</v>
      </c>
      <c r="H88">
        <v>16</v>
      </c>
      <c r="I88">
        <v>1344</v>
      </c>
      <c r="J88" t="s">
        <v>336</v>
      </c>
      <c r="K88" s="17">
        <v>1.54</v>
      </c>
      <c r="L88" s="3">
        <f t="shared" si="1"/>
        <v>0</v>
      </c>
      <c r="N88" t="s">
        <v>342</v>
      </c>
      <c r="O88" t="s">
        <v>321</v>
      </c>
      <c r="P88">
        <v>5.585</v>
      </c>
    </row>
    <row r="89" spans="1:16" x14ac:dyDescent="0.35">
      <c r="A89" s="5" t="str">
        <f>HYPERLINK("https://tienda.tarracoimportexport.com/index.php?id_product=9715&amp;controller=product&amp;id_lang=4", "TR010765")</f>
        <v>TR010765</v>
      </c>
      <c r="B89" t="s">
        <v>343</v>
      </c>
      <c r="D89" s="4">
        <v>10704</v>
      </c>
      <c r="E89" t="s">
        <v>344</v>
      </c>
      <c r="F89" t="s">
        <v>16</v>
      </c>
      <c r="G89" t="s">
        <v>50</v>
      </c>
      <c r="H89">
        <v>16</v>
      </c>
      <c r="I89">
        <v>1344</v>
      </c>
      <c r="J89" t="s">
        <v>336</v>
      </c>
      <c r="K89" s="17">
        <v>1.54</v>
      </c>
      <c r="L89" s="3">
        <f t="shared" si="1"/>
        <v>0</v>
      </c>
      <c r="N89" t="s">
        <v>345</v>
      </c>
      <c r="O89" t="s">
        <v>346</v>
      </c>
      <c r="P89">
        <v>5.5549999999999997</v>
      </c>
    </row>
    <row r="90" spans="1:16" x14ac:dyDescent="0.35">
      <c r="A90" s="5" t="str">
        <f>HYPERLINK("https://tienda.tarracoimportexport.com/index.php?id_product=9716&amp;controller=product&amp;id_lang=4", "TR010766")</f>
        <v>TR010766</v>
      </c>
      <c r="B90" t="s">
        <v>347</v>
      </c>
      <c r="D90" s="4">
        <v>5340</v>
      </c>
      <c r="E90" t="s">
        <v>348</v>
      </c>
      <c r="F90" t="s">
        <v>16</v>
      </c>
      <c r="G90" t="s">
        <v>50</v>
      </c>
      <c r="H90">
        <v>16</v>
      </c>
      <c r="I90">
        <v>1344</v>
      </c>
      <c r="J90" t="s">
        <v>336</v>
      </c>
      <c r="K90" s="17">
        <v>1.54</v>
      </c>
      <c r="L90" s="3">
        <f t="shared" si="1"/>
        <v>0</v>
      </c>
      <c r="N90" t="s">
        <v>349</v>
      </c>
      <c r="O90" t="s">
        <v>321</v>
      </c>
      <c r="P90">
        <v>5.57</v>
      </c>
    </row>
    <row r="91" spans="1:16" x14ac:dyDescent="0.35">
      <c r="A91" s="5" t="str">
        <f>HYPERLINK("https://tienda.tarracoimportexport.com/index.php?id_product=9315&amp;controller=product&amp;id_lang=4", "TR010388")</f>
        <v>TR010388</v>
      </c>
      <c r="B91" t="s">
        <v>350</v>
      </c>
      <c r="D91" s="4">
        <v>73980</v>
      </c>
      <c r="E91" t="s">
        <v>351</v>
      </c>
      <c r="F91" t="s">
        <v>16</v>
      </c>
      <c r="G91" t="s">
        <v>50</v>
      </c>
      <c r="H91">
        <v>19</v>
      </c>
      <c r="I91">
        <v>1368</v>
      </c>
      <c r="J91" t="s">
        <v>352</v>
      </c>
      <c r="K91" s="17">
        <v>1.32</v>
      </c>
      <c r="L91" s="3">
        <f t="shared" si="1"/>
        <v>0</v>
      </c>
      <c r="N91" t="s">
        <v>353</v>
      </c>
      <c r="O91" t="s">
        <v>354</v>
      </c>
      <c r="P91">
        <v>6.9550000000000001</v>
      </c>
    </row>
    <row r="92" spans="1:16" x14ac:dyDescent="0.35">
      <c r="A92" s="5" t="str">
        <f>HYPERLINK("https://tienda.tarracoimportexport.com/index.php?id_product=9467&amp;controller=product&amp;id_lang=4", "TR010535")</f>
        <v>TR010535</v>
      </c>
      <c r="B92" t="s">
        <v>355</v>
      </c>
      <c r="D92" s="4">
        <v>3405</v>
      </c>
      <c r="E92" t="s">
        <v>356</v>
      </c>
      <c r="F92" t="s">
        <v>16</v>
      </c>
      <c r="G92" t="s">
        <v>180</v>
      </c>
      <c r="H92">
        <v>18</v>
      </c>
      <c r="I92">
        <v>1350</v>
      </c>
      <c r="J92" t="s">
        <v>357</v>
      </c>
      <c r="K92" s="17">
        <v>1.46</v>
      </c>
      <c r="L92" s="3">
        <f t="shared" si="1"/>
        <v>0</v>
      </c>
      <c r="N92" t="s">
        <v>358</v>
      </c>
      <c r="O92" t="s">
        <v>359</v>
      </c>
      <c r="P92">
        <v>0.92</v>
      </c>
    </row>
    <row r="93" spans="1:16" x14ac:dyDescent="0.35">
      <c r="A93" s="5" t="str">
        <f>HYPERLINK("https://tienda.tarracoimportexport.com/index.php?id_product=9465&amp;controller=product&amp;id_lang=4", "TR010533")</f>
        <v>TR010533</v>
      </c>
      <c r="B93" t="s">
        <v>360</v>
      </c>
      <c r="D93" s="4">
        <v>12150</v>
      </c>
      <c r="E93" t="s">
        <v>361</v>
      </c>
      <c r="F93" t="s">
        <v>16</v>
      </c>
      <c r="G93" t="s">
        <v>362</v>
      </c>
      <c r="H93">
        <v>28</v>
      </c>
      <c r="I93">
        <v>5040</v>
      </c>
      <c r="J93" t="s">
        <v>363</v>
      </c>
      <c r="K93" s="17">
        <v>0.72</v>
      </c>
      <c r="L93" s="3">
        <f t="shared" si="1"/>
        <v>0</v>
      </c>
      <c r="N93" t="s">
        <v>364</v>
      </c>
      <c r="O93" t="s">
        <v>365</v>
      </c>
      <c r="P93">
        <v>0.7</v>
      </c>
    </row>
    <row r="94" spans="1:16" x14ac:dyDescent="0.35">
      <c r="A94" s="5" t="str">
        <f>HYPERLINK("https://tienda.tarracoimportexport.com/index.php?id_product=7736&amp;controller=product&amp;id_lang=4", "TR008902")</f>
        <v>TR008902</v>
      </c>
      <c r="B94" t="s">
        <v>366</v>
      </c>
      <c r="D94" s="4">
        <v>18380</v>
      </c>
      <c r="E94" t="s">
        <v>367</v>
      </c>
      <c r="F94" t="s">
        <v>16</v>
      </c>
      <c r="G94" t="s">
        <v>27</v>
      </c>
      <c r="H94">
        <v>20</v>
      </c>
      <c r="I94">
        <v>1200</v>
      </c>
      <c r="J94" t="s">
        <v>63</v>
      </c>
      <c r="K94" s="17">
        <v>1.94</v>
      </c>
      <c r="L94" s="3">
        <f t="shared" si="1"/>
        <v>0</v>
      </c>
      <c r="N94" t="s">
        <v>368</v>
      </c>
      <c r="O94" t="s">
        <v>359</v>
      </c>
      <c r="P94">
        <v>1.05</v>
      </c>
    </row>
    <row r="95" spans="1:16" x14ac:dyDescent="0.35">
      <c r="A95" s="5" t="str">
        <f>HYPERLINK("https://tienda.tarracoimportexport.com/index.php?id_product=7735&amp;controller=product&amp;id_lang=4", "TR008901")</f>
        <v>TR008901</v>
      </c>
      <c r="B95" t="s">
        <v>369</v>
      </c>
      <c r="D95" s="4">
        <v>7140</v>
      </c>
      <c r="E95" t="s">
        <v>370</v>
      </c>
      <c r="F95" t="s">
        <v>16</v>
      </c>
      <c r="G95" t="s">
        <v>27</v>
      </c>
      <c r="H95">
        <v>20</v>
      </c>
      <c r="I95">
        <v>800</v>
      </c>
      <c r="J95" t="s">
        <v>140</v>
      </c>
      <c r="K95" s="17">
        <v>2.0499999999999998</v>
      </c>
      <c r="L95" s="3">
        <f t="shared" si="1"/>
        <v>0</v>
      </c>
      <c r="N95" t="s">
        <v>371</v>
      </c>
      <c r="O95" t="s">
        <v>359</v>
      </c>
      <c r="P95">
        <v>1.01</v>
      </c>
    </row>
    <row r="96" spans="1:16" x14ac:dyDescent="0.35">
      <c r="A96" s="5" t="str">
        <f>HYPERLINK("https://tienda.tarracoimportexport.com/index.php?id_product=9462&amp;controller=product&amp;id_lang=4", "TR010530")</f>
        <v>TR010530</v>
      </c>
      <c r="B96" t="s">
        <v>372</v>
      </c>
      <c r="D96" s="4">
        <v>38088</v>
      </c>
      <c r="E96" t="s">
        <v>373</v>
      </c>
      <c r="F96" t="s">
        <v>16</v>
      </c>
      <c r="G96" t="s">
        <v>50</v>
      </c>
      <c r="H96">
        <v>12</v>
      </c>
      <c r="I96">
        <v>1152</v>
      </c>
      <c r="J96" t="s">
        <v>374</v>
      </c>
      <c r="K96" s="17">
        <v>1.89</v>
      </c>
      <c r="L96" s="3">
        <f t="shared" si="1"/>
        <v>0</v>
      </c>
      <c r="N96" t="s">
        <v>375</v>
      </c>
      <c r="O96" t="s">
        <v>376</v>
      </c>
      <c r="P96">
        <v>1.1000000000000001</v>
      </c>
    </row>
    <row r="97" spans="1:16" x14ac:dyDescent="0.35">
      <c r="A97" s="5" t="str">
        <f>HYPERLINK("https://tienda.tarracoimportexport.com/index.php?id_product=9663&amp;controller=product&amp;id_lang=4", "TR010531")</f>
        <v>TR010531</v>
      </c>
      <c r="B97" t="s">
        <v>377</v>
      </c>
      <c r="D97" s="4">
        <v>2740</v>
      </c>
      <c r="E97" t="s">
        <v>378</v>
      </c>
      <c r="F97" t="s">
        <v>16</v>
      </c>
      <c r="G97" t="s">
        <v>27</v>
      </c>
      <c r="H97">
        <v>20</v>
      </c>
      <c r="I97">
        <v>1400</v>
      </c>
      <c r="J97" t="s">
        <v>379</v>
      </c>
      <c r="K97" s="17">
        <v>1.38</v>
      </c>
      <c r="L97" s="3">
        <f t="shared" si="1"/>
        <v>0</v>
      </c>
      <c r="N97" t="s">
        <v>380</v>
      </c>
      <c r="O97" t="s">
        <v>365</v>
      </c>
      <c r="P97">
        <v>0.98</v>
      </c>
    </row>
    <row r="98" spans="1:16" x14ac:dyDescent="0.35">
      <c r="A98" s="5" t="str">
        <f>HYPERLINK("https://tienda.tarracoimportexport.com/index.php?id_product=9158&amp;controller=product&amp;id_lang=4", "TR010238")</f>
        <v>TR010238</v>
      </c>
      <c r="B98" t="s">
        <v>381</v>
      </c>
      <c r="D98" s="4">
        <v>53300</v>
      </c>
      <c r="E98" t="s">
        <v>382</v>
      </c>
      <c r="F98" t="s">
        <v>16</v>
      </c>
      <c r="G98" t="s">
        <v>17</v>
      </c>
      <c r="H98">
        <v>12</v>
      </c>
      <c r="I98">
        <v>2160</v>
      </c>
      <c r="J98" t="s">
        <v>383</v>
      </c>
      <c r="K98" s="17">
        <v>1.26</v>
      </c>
      <c r="L98" s="3">
        <f t="shared" si="1"/>
        <v>0</v>
      </c>
      <c r="N98" t="s">
        <v>384</v>
      </c>
      <c r="O98" t="s">
        <v>385</v>
      </c>
      <c r="P98">
        <v>1.32</v>
      </c>
    </row>
    <row r="99" spans="1:16" x14ac:dyDescent="0.35">
      <c r="A99" s="5" t="str">
        <f>HYPERLINK("https://tienda.tarracoimportexport.com/index.php?id_product=9457&amp;controller=product&amp;id_lang=4", "TR010525")</f>
        <v>TR010525</v>
      </c>
      <c r="B99" t="s">
        <v>386</v>
      </c>
      <c r="D99" s="4">
        <v>58960</v>
      </c>
      <c r="E99" t="s">
        <v>387</v>
      </c>
      <c r="F99" t="s">
        <v>16</v>
      </c>
      <c r="G99" t="s">
        <v>186</v>
      </c>
      <c r="H99">
        <v>16</v>
      </c>
      <c r="I99">
        <v>2560</v>
      </c>
      <c r="J99" t="s">
        <v>388</v>
      </c>
      <c r="K99" s="17">
        <v>0.45</v>
      </c>
      <c r="L99" s="3">
        <f t="shared" si="1"/>
        <v>0</v>
      </c>
      <c r="N99" t="s">
        <v>389</v>
      </c>
      <c r="O99" t="s">
        <v>365</v>
      </c>
      <c r="P99">
        <v>1.25</v>
      </c>
    </row>
    <row r="100" spans="1:16" x14ac:dyDescent="0.35">
      <c r="A100" s="5" t="str">
        <f>HYPERLINK("https://tienda.tarracoimportexport.com/index.php?id_product=9778&amp;controller=product&amp;id_lang=4", "TR010826")</f>
        <v>TR010826</v>
      </c>
      <c r="B100" t="s">
        <v>390</v>
      </c>
      <c r="D100" s="4">
        <v>640</v>
      </c>
      <c r="E100" t="s">
        <v>391</v>
      </c>
      <c r="F100" t="s">
        <v>16</v>
      </c>
      <c r="G100" t="s">
        <v>17</v>
      </c>
      <c r="H100">
        <v>12</v>
      </c>
      <c r="I100">
        <v>1680</v>
      </c>
      <c r="J100" t="s">
        <v>90</v>
      </c>
      <c r="K100" s="17">
        <v>0.67</v>
      </c>
      <c r="L100" s="3">
        <f t="shared" si="1"/>
        <v>0</v>
      </c>
      <c r="N100" t="s">
        <v>392</v>
      </c>
      <c r="O100" t="s">
        <v>393</v>
      </c>
      <c r="P100">
        <v>0.72</v>
      </c>
    </row>
    <row r="101" spans="1:16" x14ac:dyDescent="0.35">
      <c r="A101" s="5" t="str">
        <f>HYPERLINK("https://tienda.tarracoimportexport.com/index.php?id_product=9459&amp;controller=product&amp;id_lang=4", "TR010527")</f>
        <v>TR010527</v>
      </c>
      <c r="B101" t="s">
        <v>394</v>
      </c>
      <c r="D101" s="4">
        <v>3080</v>
      </c>
      <c r="E101" t="s">
        <v>395</v>
      </c>
      <c r="F101" t="s">
        <v>396</v>
      </c>
      <c r="G101" t="s">
        <v>17</v>
      </c>
      <c r="H101">
        <v>12</v>
      </c>
      <c r="I101">
        <v>1680</v>
      </c>
      <c r="J101" t="s">
        <v>90</v>
      </c>
      <c r="K101" s="17">
        <v>0.67</v>
      </c>
      <c r="L101" s="3">
        <f t="shared" si="1"/>
        <v>0</v>
      </c>
      <c r="N101" t="s">
        <v>397</v>
      </c>
      <c r="O101" t="s">
        <v>398</v>
      </c>
      <c r="P101">
        <v>0.69</v>
      </c>
    </row>
    <row r="102" spans="1:16" x14ac:dyDescent="0.35">
      <c r="A102" s="5" t="str">
        <f>HYPERLINK("https://tienda.tarracoimportexport.com/index.php?id_product=10535&amp;controller=product&amp;id_lang=4", "TR011511")</f>
        <v>TR011511</v>
      </c>
      <c r="B102" t="s">
        <v>399</v>
      </c>
      <c r="D102" s="4">
        <v>1920</v>
      </c>
      <c r="E102" t="s">
        <v>400</v>
      </c>
      <c r="F102" t="s">
        <v>16</v>
      </c>
      <c r="G102" t="s">
        <v>180</v>
      </c>
      <c r="H102">
        <v>18</v>
      </c>
      <c r="I102">
        <v>1350</v>
      </c>
      <c r="J102" t="s">
        <v>357</v>
      </c>
      <c r="K102" s="17">
        <v>1.46</v>
      </c>
      <c r="L102" s="3">
        <f t="shared" si="1"/>
        <v>0</v>
      </c>
      <c r="N102" t="s">
        <v>401</v>
      </c>
      <c r="O102" t="s">
        <v>359</v>
      </c>
      <c r="P102">
        <v>0.64500000000000002</v>
      </c>
    </row>
    <row r="103" spans="1:16" x14ac:dyDescent="0.35">
      <c r="A103" s="5" t="str">
        <f>HYPERLINK("https://tienda.tarracoimportexport.com/index.php?id_product=10536&amp;controller=product&amp;id_lang=4", "TR011512")</f>
        <v>TR011512</v>
      </c>
      <c r="B103" t="s">
        <v>402</v>
      </c>
      <c r="D103" s="4">
        <v>624</v>
      </c>
      <c r="E103" t="s">
        <v>403</v>
      </c>
      <c r="F103" t="s">
        <v>16</v>
      </c>
      <c r="G103" t="s">
        <v>50</v>
      </c>
      <c r="H103">
        <v>18</v>
      </c>
      <c r="I103">
        <v>1080</v>
      </c>
      <c r="J103" t="s">
        <v>357</v>
      </c>
      <c r="K103" s="17">
        <v>1.99</v>
      </c>
      <c r="L103" s="3">
        <f t="shared" si="1"/>
        <v>0</v>
      </c>
      <c r="N103" t="s">
        <v>404</v>
      </c>
      <c r="O103" t="s">
        <v>359</v>
      </c>
      <c r="P103">
        <v>1.1200000000000001</v>
      </c>
    </row>
    <row r="104" spans="1:16" x14ac:dyDescent="0.35">
      <c r="A104" s="5" t="str">
        <f>HYPERLINK("https://tienda.tarracoimportexport.com/index.php?id_product=9464&amp;controller=product&amp;id_lang=4", "TR010532")</f>
        <v>TR010532</v>
      </c>
      <c r="B104" t="s">
        <v>405</v>
      </c>
      <c r="D104" s="4">
        <v>58200</v>
      </c>
      <c r="E104" t="s">
        <v>406</v>
      </c>
      <c r="F104" t="s">
        <v>16</v>
      </c>
      <c r="G104" t="s">
        <v>17</v>
      </c>
      <c r="H104">
        <v>11</v>
      </c>
      <c r="I104">
        <v>1980</v>
      </c>
      <c r="J104" t="s">
        <v>407</v>
      </c>
      <c r="K104" s="17">
        <v>0.74</v>
      </c>
      <c r="L104" s="3">
        <f t="shared" si="1"/>
        <v>0</v>
      </c>
      <c r="N104" t="s">
        <v>408</v>
      </c>
      <c r="O104" t="s">
        <v>409</v>
      </c>
      <c r="P104">
        <v>0.72</v>
      </c>
    </row>
    <row r="105" spans="1:16" x14ac:dyDescent="0.35">
      <c r="A105" s="5" t="str">
        <f>HYPERLINK("https://tienda.tarracoimportexport.com/index.php?id_product=10635&amp;controller=product&amp;id_lang=4", "TR011610")</f>
        <v>TR011610</v>
      </c>
      <c r="B105" t="s">
        <v>410</v>
      </c>
      <c r="D105" s="4">
        <v>5200</v>
      </c>
      <c r="E105" t="s">
        <v>411</v>
      </c>
      <c r="F105" t="s">
        <v>16</v>
      </c>
      <c r="G105" t="s">
        <v>27</v>
      </c>
      <c r="H105">
        <v>18</v>
      </c>
      <c r="I105">
        <v>1440</v>
      </c>
      <c r="J105" t="s">
        <v>47</v>
      </c>
      <c r="K105" s="17">
        <v>1.39</v>
      </c>
      <c r="L105" s="3">
        <f t="shared" si="1"/>
        <v>0</v>
      </c>
      <c r="N105" t="s">
        <v>412</v>
      </c>
      <c r="O105" t="s">
        <v>30</v>
      </c>
      <c r="P105">
        <v>1.615</v>
      </c>
    </row>
    <row r="106" spans="1:16" x14ac:dyDescent="0.35">
      <c r="A106" s="5" t="str">
        <f>HYPERLINK("https://tienda.tarracoimportexport.com/index.php?id_product=10636&amp;controller=product&amp;id_lang=4", "TR011611")</f>
        <v>TR011611</v>
      </c>
      <c r="B106" t="s">
        <v>413</v>
      </c>
      <c r="D106" s="4">
        <v>5750</v>
      </c>
      <c r="E106" t="s">
        <v>414</v>
      </c>
      <c r="F106" t="s">
        <v>16</v>
      </c>
      <c r="G106" t="s">
        <v>27</v>
      </c>
      <c r="H106">
        <v>18</v>
      </c>
      <c r="I106">
        <v>1440</v>
      </c>
      <c r="J106" t="s">
        <v>47</v>
      </c>
      <c r="K106" s="17">
        <v>1.39</v>
      </c>
      <c r="L106" s="3">
        <f t="shared" si="1"/>
        <v>0</v>
      </c>
      <c r="N106" t="s">
        <v>415</v>
      </c>
      <c r="O106" t="s">
        <v>30</v>
      </c>
      <c r="P106">
        <v>1.6</v>
      </c>
    </row>
    <row r="107" spans="1:16" x14ac:dyDescent="0.35">
      <c r="A107" s="5" t="str">
        <f>HYPERLINK("https://tienda.tarracoimportexport.com/index.php?id_product=6415&amp;controller=product&amp;id_lang=4", "TR007540")</f>
        <v>TR007540</v>
      </c>
      <c r="B107" t="s">
        <v>416</v>
      </c>
      <c r="D107" s="4">
        <v>1395</v>
      </c>
      <c r="E107" t="s">
        <v>417</v>
      </c>
      <c r="F107" t="s">
        <v>16</v>
      </c>
      <c r="G107" t="s">
        <v>56</v>
      </c>
      <c r="H107">
        <v>16</v>
      </c>
      <c r="I107">
        <v>1008</v>
      </c>
      <c r="J107" t="s">
        <v>336</v>
      </c>
      <c r="K107" s="17">
        <v>1.98</v>
      </c>
      <c r="L107" s="3">
        <f t="shared" si="1"/>
        <v>0</v>
      </c>
      <c r="N107" t="s">
        <v>418</v>
      </c>
      <c r="O107" t="s">
        <v>30</v>
      </c>
      <c r="P107">
        <v>2.1349999999999998</v>
      </c>
    </row>
    <row r="108" spans="1:16" x14ac:dyDescent="0.35">
      <c r="A108" s="5" t="str">
        <f>HYPERLINK("https://tienda.tarracoimportexport.com/index.php?id_product=7218&amp;controller=product&amp;id_lang=4", "TR008406")</f>
        <v>TR008406</v>
      </c>
      <c r="B108" t="s">
        <v>419</v>
      </c>
      <c r="D108" s="4">
        <v>2570</v>
      </c>
      <c r="E108" t="s">
        <v>420</v>
      </c>
      <c r="F108" t="s">
        <v>16</v>
      </c>
      <c r="G108" t="s">
        <v>27</v>
      </c>
      <c r="H108">
        <v>18</v>
      </c>
      <c r="I108">
        <v>720</v>
      </c>
      <c r="J108" t="s">
        <v>94</v>
      </c>
      <c r="K108" s="17">
        <v>1.39</v>
      </c>
      <c r="L108" s="3">
        <f t="shared" si="1"/>
        <v>0</v>
      </c>
      <c r="N108" t="s">
        <v>421</v>
      </c>
      <c r="O108" t="s">
        <v>422</v>
      </c>
      <c r="P108">
        <v>1.6</v>
      </c>
    </row>
    <row r="109" spans="1:16" x14ac:dyDescent="0.35">
      <c r="A109" s="5" t="str">
        <f>HYPERLINK("https://tienda.tarracoimportexport.com/index.php?id_product=10637&amp;controller=product&amp;id_lang=4", "TR011612")</f>
        <v>TR011612</v>
      </c>
      <c r="B109" t="s">
        <v>423</v>
      </c>
      <c r="D109" s="4">
        <v>5160</v>
      </c>
      <c r="E109" t="s">
        <v>424</v>
      </c>
      <c r="F109" t="s">
        <v>16</v>
      </c>
      <c r="G109" t="s">
        <v>27</v>
      </c>
      <c r="H109">
        <v>18</v>
      </c>
      <c r="I109">
        <v>1440</v>
      </c>
      <c r="J109" t="s">
        <v>47</v>
      </c>
      <c r="K109" s="17">
        <v>1.39</v>
      </c>
      <c r="L109" s="3">
        <f t="shared" si="1"/>
        <v>0</v>
      </c>
      <c r="N109" t="s">
        <v>425</v>
      </c>
      <c r="O109" t="s">
        <v>42</v>
      </c>
      <c r="P109">
        <v>1.4550000000000001</v>
      </c>
    </row>
    <row r="110" spans="1:16" x14ac:dyDescent="0.35">
      <c r="A110" s="5" t="str">
        <f>HYPERLINK("https://tienda.tarracoimportexport.com/index.php?id_product=9101&amp;controller=product&amp;id_lang=4", "TR010185")</f>
        <v>TR010185</v>
      </c>
      <c r="B110" t="s">
        <v>426</v>
      </c>
      <c r="D110" s="4">
        <v>1950</v>
      </c>
      <c r="E110" t="s">
        <v>427</v>
      </c>
      <c r="F110" t="s">
        <v>16</v>
      </c>
      <c r="G110" t="s">
        <v>27</v>
      </c>
      <c r="H110">
        <v>18</v>
      </c>
      <c r="I110">
        <v>720</v>
      </c>
      <c r="J110" t="s">
        <v>94</v>
      </c>
      <c r="K110" s="17">
        <v>1.39</v>
      </c>
      <c r="L110" s="3">
        <f t="shared" si="1"/>
        <v>0</v>
      </c>
      <c r="N110" t="s">
        <v>428</v>
      </c>
      <c r="O110" t="s">
        <v>42</v>
      </c>
      <c r="P110">
        <v>1.615</v>
      </c>
    </row>
    <row r="111" spans="1:16" x14ac:dyDescent="0.35">
      <c r="A111" s="5" t="str">
        <f>HYPERLINK("https://tienda.tarracoimportexport.com/index.php?id_product=5251&amp;controller=product&amp;id_lang=4", "TR006528")</f>
        <v>TR006528</v>
      </c>
      <c r="B111" t="s">
        <v>429</v>
      </c>
      <c r="D111" s="4">
        <v>8750</v>
      </c>
      <c r="E111" t="s">
        <v>430</v>
      </c>
      <c r="F111" t="s">
        <v>16</v>
      </c>
      <c r="G111" t="s">
        <v>27</v>
      </c>
      <c r="H111">
        <v>18</v>
      </c>
      <c r="I111">
        <v>720</v>
      </c>
      <c r="J111" t="s">
        <v>94</v>
      </c>
      <c r="K111" s="17">
        <v>1.39</v>
      </c>
      <c r="L111" s="3">
        <f t="shared" si="1"/>
        <v>0</v>
      </c>
      <c r="N111" t="s">
        <v>431</v>
      </c>
      <c r="O111" t="s">
        <v>30</v>
      </c>
      <c r="P111">
        <v>1.59</v>
      </c>
    </row>
    <row r="112" spans="1:16" x14ac:dyDescent="0.35">
      <c r="A112" s="5" t="str">
        <f>HYPERLINK("https://tienda.tarracoimportexport.com/index.php?id_product=10865&amp;controller=product&amp;id_lang=4", "TR011811")</f>
        <v>TR011811</v>
      </c>
      <c r="B112" t="s">
        <v>432</v>
      </c>
      <c r="D112" s="4">
        <v>8037</v>
      </c>
      <c r="E112" t="s">
        <v>433</v>
      </c>
      <c r="F112" t="s">
        <v>16</v>
      </c>
      <c r="G112" t="s">
        <v>56</v>
      </c>
      <c r="H112">
        <v>16</v>
      </c>
      <c r="I112">
        <v>1008</v>
      </c>
      <c r="J112" t="s">
        <v>336</v>
      </c>
      <c r="K112" s="17">
        <v>1.98</v>
      </c>
      <c r="L112" s="3">
        <f t="shared" si="1"/>
        <v>0</v>
      </c>
      <c r="N112" t="s">
        <v>434</v>
      </c>
      <c r="O112" t="s">
        <v>30</v>
      </c>
      <c r="P112">
        <v>2.1030000000000002</v>
      </c>
    </row>
    <row r="113" spans="1:16" x14ac:dyDescent="0.35">
      <c r="A113" s="5" t="str">
        <f>HYPERLINK("https://tienda.tarracoimportexport.com/index.php?id_product=9543&amp;controller=product&amp;id_lang=4", "TR010601")</f>
        <v>TR010601</v>
      </c>
      <c r="B113" t="s">
        <v>435</v>
      </c>
      <c r="D113" s="4">
        <v>7038</v>
      </c>
      <c r="E113" t="s">
        <v>436</v>
      </c>
      <c r="F113" t="s">
        <v>16</v>
      </c>
      <c r="G113" t="s">
        <v>56</v>
      </c>
      <c r="H113">
        <v>16</v>
      </c>
      <c r="I113">
        <v>1008</v>
      </c>
      <c r="J113" t="s">
        <v>336</v>
      </c>
      <c r="K113" s="17">
        <v>1.98</v>
      </c>
      <c r="L113" s="3">
        <f t="shared" si="1"/>
        <v>0</v>
      </c>
      <c r="N113" t="s">
        <v>437</v>
      </c>
      <c r="O113" t="s">
        <v>42</v>
      </c>
      <c r="P113">
        <v>2.125</v>
      </c>
    </row>
    <row r="114" spans="1:16" x14ac:dyDescent="0.35">
      <c r="A114" s="5" t="str">
        <f>HYPERLINK("https://tienda.tarracoimportexport.com/index.php?id_product=10470&amp;controller=product&amp;id_lang=4", "TR011454")</f>
        <v>TR011454</v>
      </c>
      <c r="B114" t="s">
        <v>438</v>
      </c>
      <c r="D114" s="4">
        <v>13806</v>
      </c>
      <c r="E114" t="s">
        <v>439</v>
      </c>
      <c r="F114" t="s">
        <v>16</v>
      </c>
      <c r="G114" t="s">
        <v>56</v>
      </c>
      <c r="H114">
        <v>16</v>
      </c>
      <c r="I114">
        <v>1008</v>
      </c>
      <c r="J114" t="s">
        <v>336</v>
      </c>
      <c r="K114" s="17">
        <v>1.98</v>
      </c>
      <c r="L114" s="3">
        <f t="shared" si="1"/>
        <v>0</v>
      </c>
      <c r="N114" t="s">
        <v>440</v>
      </c>
      <c r="O114" t="s">
        <v>422</v>
      </c>
      <c r="P114">
        <v>2.1</v>
      </c>
    </row>
    <row r="115" spans="1:16" x14ac:dyDescent="0.35">
      <c r="A115" s="5" t="str">
        <f>HYPERLINK("https://tienda.tarracoimportexport.com/index.php?id_product=9544&amp;controller=product&amp;id_lang=4", "TR010602")</f>
        <v>TR010602</v>
      </c>
      <c r="B115" t="s">
        <v>441</v>
      </c>
      <c r="D115" s="4">
        <v>2106</v>
      </c>
      <c r="E115" t="s">
        <v>442</v>
      </c>
      <c r="F115" t="s">
        <v>16</v>
      </c>
      <c r="G115" t="s">
        <v>56</v>
      </c>
      <c r="H115">
        <v>16</v>
      </c>
      <c r="I115">
        <v>1008</v>
      </c>
      <c r="J115" t="s">
        <v>336</v>
      </c>
      <c r="K115" s="17">
        <v>1.98</v>
      </c>
      <c r="L115" s="3">
        <f t="shared" si="1"/>
        <v>0</v>
      </c>
      <c r="N115" t="s">
        <v>443</v>
      </c>
      <c r="O115" t="s">
        <v>30</v>
      </c>
      <c r="P115">
        <v>2.145</v>
      </c>
    </row>
    <row r="116" spans="1:16" x14ac:dyDescent="0.35">
      <c r="A116" s="5" t="str">
        <f>HYPERLINK("https://tienda.tarracoimportexport.com/index.php?id_product=6418&amp;controller=product&amp;id_lang=4", "TR007543")</f>
        <v>TR007543</v>
      </c>
      <c r="B116" t="s">
        <v>444</v>
      </c>
      <c r="D116" s="4">
        <v>2313</v>
      </c>
      <c r="E116" t="s">
        <v>445</v>
      </c>
      <c r="F116" t="s">
        <v>16</v>
      </c>
      <c r="G116" t="s">
        <v>56</v>
      </c>
      <c r="H116">
        <v>16</v>
      </c>
      <c r="I116">
        <v>1008</v>
      </c>
      <c r="J116" t="s">
        <v>336</v>
      </c>
      <c r="K116" s="17">
        <v>1.98</v>
      </c>
      <c r="L116" s="3">
        <f t="shared" si="1"/>
        <v>0</v>
      </c>
      <c r="N116" t="s">
        <v>446</v>
      </c>
      <c r="O116" t="s">
        <v>30</v>
      </c>
      <c r="P116">
        <v>1.82</v>
      </c>
    </row>
    <row r="117" spans="1:16" x14ac:dyDescent="0.35">
      <c r="A117" s="5" t="str">
        <f>HYPERLINK("https://tienda.tarracoimportexport.com/index.php?id_product=10540&amp;controller=product&amp;id_lang=4", "TR011516")</f>
        <v>TR011516</v>
      </c>
      <c r="B117" t="s">
        <v>447</v>
      </c>
      <c r="D117" s="4">
        <v>180</v>
      </c>
      <c r="E117" t="s">
        <v>448</v>
      </c>
      <c r="F117" t="s">
        <v>16</v>
      </c>
      <c r="G117" t="s">
        <v>242</v>
      </c>
      <c r="H117">
        <v>16</v>
      </c>
      <c r="I117">
        <v>192</v>
      </c>
      <c r="J117" t="s">
        <v>202</v>
      </c>
      <c r="K117" s="17">
        <v>3.96</v>
      </c>
      <c r="L117" s="3">
        <f t="shared" si="1"/>
        <v>0</v>
      </c>
      <c r="N117" t="s">
        <v>449</v>
      </c>
      <c r="O117" t="s">
        <v>450</v>
      </c>
      <c r="P117">
        <v>5.6749999999999998</v>
      </c>
    </row>
    <row r="118" spans="1:16" x14ac:dyDescent="0.35">
      <c r="A118" s="5" t="str">
        <f>HYPERLINK("https://tienda.tarracoimportexport.com/index.php?id_product=8659&amp;controller=product&amp;id_lang=4", "TR009794")</f>
        <v>TR009794</v>
      </c>
      <c r="B118" t="s">
        <v>451</v>
      </c>
      <c r="D118" s="4">
        <v>996</v>
      </c>
      <c r="E118" t="s">
        <v>452</v>
      </c>
      <c r="F118" t="s">
        <v>16</v>
      </c>
      <c r="G118" t="s">
        <v>50</v>
      </c>
      <c r="H118">
        <v>10</v>
      </c>
      <c r="I118">
        <v>840</v>
      </c>
      <c r="J118" t="s">
        <v>192</v>
      </c>
      <c r="K118" s="17">
        <v>2.54</v>
      </c>
      <c r="L118" s="3">
        <f t="shared" si="1"/>
        <v>0</v>
      </c>
      <c r="N118" t="s">
        <v>453</v>
      </c>
      <c r="O118" t="s">
        <v>42</v>
      </c>
      <c r="P118">
        <v>10.775</v>
      </c>
    </row>
    <row r="119" spans="1:16" x14ac:dyDescent="0.35">
      <c r="A119" s="5" t="str">
        <f>HYPERLINK("https://tienda.tarracoimportexport.com/index.php?id_product=4944&amp;controller=product&amp;id_lang=4", "TR006237")</f>
        <v>TR006237</v>
      </c>
      <c r="B119" t="s">
        <v>454</v>
      </c>
      <c r="D119" s="4">
        <v>42455</v>
      </c>
      <c r="E119" t="s">
        <v>455</v>
      </c>
      <c r="F119" t="s">
        <v>16</v>
      </c>
      <c r="G119" t="s">
        <v>306</v>
      </c>
      <c r="H119">
        <v>16</v>
      </c>
      <c r="I119">
        <v>784</v>
      </c>
      <c r="J119" t="s">
        <v>336</v>
      </c>
      <c r="K119" s="17">
        <v>2.34</v>
      </c>
      <c r="L119" s="3">
        <f t="shared" si="1"/>
        <v>0</v>
      </c>
      <c r="N119" t="s">
        <v>456</v>
      </c>
      <c r="O119" t="s">
        <v>42</v>
      </c>
      <c r="P119">
        <v>1.69</v>
      </c>
    </row>
    <row r="120" spans="1:16" x14ac:dyDescent="0.35">
      <c r="A120" s="5" t="str">
        <f>HYPERLINK("https://tienda.tarracoimportexport.com/index.php?id_product=10508&amp;controller=product&amp;id_lang=4", "TR011486")</f>
        <v>TR011486</v>
      </c>
      <c r="B120" t="s">
        <v>457</v>
      </c>
      <c r="D120" s="4">
        <v>26448</v>
      </c>
      <c r="E120" t="s">
        <v>458</v>
      </c>
      <c r="F120" t="s">
        <v>16</v>
      </c>
      <c r="G120" t="s">
        <v>106</v>
      </c>
      <c r="H120">
        <v>14</v>
      </c>
      <c r="I120">
        <v>2352</v>
      </c>
      <c r="J120" t="s">
        <v>459</v>
      </c>
      <c r="K120" s="17">
        <v>0.89</v>
      </c>
      <c r="L120" s="3">
        <f t="shared" si="1"/>
        <v>0</v>
      </c>
      <c r="N120" t="s">
        <v>460</v>
      </c>
      <c r="O120" t="s">
        <v>461</v>
      </c>
      <c r="P120">
        <v>9.09</v>
      </c>
    </row>
    <row r="121" spans="1:16" x14ac:dyDescent="0.35">
      <c r="A121" s="5" t="str">
        <f>HYPERLINK("https://tienda.tarracoimportexport.com/index.php?id_product=10506&amp;controller=product&amp;id_lang=4", "TR011484")</f>
        <v>TR011484</v>
      </c>
      <c r="B121" t="s">
        <v>462</v>
      </c>
      <c r="D121" s="4">
        <v>10008</v>
      </c>
      <c r="E121" t="s">
        <v>463</v>
      </c>
      <c r="F121" t="s">
        <v>16</v>
      </c>
      <c r="G121" t="s">
        <v>106</v>
      </c>
      <c r="H121">
        <v>14</v>
      </c>
      <c r="I121">
        <v>2352</v>
      </c>
      <c r="J121" t="s">
        <v>459</v>
      </c>
      <c r="K121" s="17">
        <v>0.89</v>
      </c>
      <c r="L121" s="3">
        <f t="shared" ref="L121:L183" si="2">K121*C121</f>
        <v>0</v>
      </c>
      <c r="N121" t="s">
        <v>464</v>
      </c>
      <c r="O121" t="s">
        <v>465</v>
      </c>
      <c r="P121">
        <v>9.3699999999999992</v>
      </c>
    </row>
    <row r="122" spans="1:16" x14ac:dyDescent="0.35">
      <c r="A122" s="5" t="str">
        <f>HYPERLINK("https://tienda.tarracoimportexport.com/index.php?id_product=9526&amp;controller=product&amp;id_lang=4", "TR010588")</f>
        <v>TR010588</v>
      </c>
      <c r="B122" t="s">
        <v>466</v>
      </c>
      <c r="D122" s="4">
        <v>2124</v>
      </c>
      <c r="E122" t="s">
        <v>467</v>
      </c>
      <c r="F122" t="s">
        <v>16</v>
      </c>
      <c r="G122" t="s">
        <v>50</v>
      </c>
      <c r="H122">
        <v>19</v>
      </c>
      <c r="I122">
        <v>1368</v>
      </c>
      <c r="J122" t="s">
        <v>352</v>
      </c>
      <c r="K122" s="17">
        <v>0.75</v>
      </c>
      <c r="L122" s="3">
        <f t="shared" si="2"/>
        <v>0</v>
      </c>
      <c r="N122" t="s">
        <v>468</v>
      </c>
      <c r="O122" t="s">
        <v>469</v>
      </c>
      <c r="P122">
        <v>0.76</v>
      </c>
    </row>
    <row r="123" spans="1:16" x14ac:dyDescent="0.35">
      <c r="A123" s="5" t="str">
        <f>HYPERLINK("https://tienda.tarracoimportexport.com/index.php?id_product=5324&amp;controller=product&amp;id_lang=4", "TR006583")</f>
        <v>TR006583</v>
      </c>
      <c r="B123" t="s">
        <v>470</v>
      </c>
      <c r="D123" s="4">
        <v>2952</v>
      </c>
      <c r="E123" t="s">
        <v>471</v>
      </c>
      <c r="F123" t="s">
        <v>16</v>
      </c>
      <c r="G123" t="s">
        <v>50</v>
      </c>
      <c r="H123">
        <v>33</v>
      </c>
      <c r="I123">
        <v>1980</v>
      </c>
      <c r="J123" t="s">
        <v>472</v>
      </c>
      <c r="K123" s="17">
        <v>1.31</v>
      </c>
      <c r="L123" s="3">
        <f t="shared" si="2"/>
        <v>0</v>
      </c>
      <c r="N123" t="s">
        <v>473</v>
      </c>
      <c r="O123" t="s">
        <v>474</v>
      </c>
      <c r="P123">
        <v>2.3199999999999998</v>
      </c>
    </row>
    <row r="124" spans="1:16" x14ac:dyDescent="0.35">
      <c r="A124" s="5" t="str">
        <f>HYPERLINK("https://tienda.tarracoimportexport.com/index.php?id_product=3049&amp;controller=product&amp;id_lang=4", "TR004506")</f>
        <v>TR004506</v>
      </c>
      <c r="B124" t="s">
        <v>475</v>
      </c>
      <c r="D124" s="4">
        <v>2292</v>
      </c>
      <c r="E124" t="s">
        <v>476</v>
      </c>
      <c r="F124" t="s">
        <v>16</v>
      </c>
      <c r="G124" t="s">
        <v>50</v>
      </c>
      <c r="H124">
        <v>10</v>
      </c>
      <c r="I124">
        <v>600</v>
      </c>
      <c r="J124" t="s">
        <v>327</v>
      </c>
      <c r="K124" s="17">
        <v>1.41</v>
      </c>
      <c r="L124" s="3">
        <f t="shared" si="2"/>
        <v>0</v>
      </c>
      <c r="N124" t="s">
        <v>477</v>
      </c>
      <c r="O124" t="s">
        <v>30</v>
      </c>
      <c r="P124">
        <v>10.5</v>
      </c>
    </row>
    <row r="125" spans="1:16" x14ac:dyDescent="0.35">
      <c r="A125" s="5" t="str">
        <f>HYPERLINK("https://tienda.tarracoimportexport.com/index.php?id_product=9680&amp;controller=product&amp;id_lang=4", "TR010731")</f>
        <v>TR010731</v>
      </c>
      <c r="B125" t="s">
        <v>478</v>
      </c>
      <c r="D125" s="4">
        <v>1572</v>
      </c>
      <c r="E125" t="s">
        <v>479</v>
      </c>
      <c r="F125" t="s">
        <v>16</v>
      </c>
      <c r="G125" t="s">
        <v>50</v>
      </c>
      <c r="H125">
        <v>11</v>
      </c>
      <c r="I125">
        <v>396</v>
      </c>
      <c r="J125" t="s">
        <v>480</v>
      </c>
      <c r="K125" s="17">
        <v>1.41</v>
      </c>
      <c r="L125" s="3">
        <f t="shared" si="2"/>
        <v>0</v>
      </c>
      <c r="N125" t="s">
        <v>481</v>
      </c>
      <c r="O125" t="s">
        <v>30</v>
      </c>
      <c r="P125">
        <v>10.46</v>
      </c>
    </row>
    <row r="126" spans="1:16" x14ac:dyDescent="0.35">
      <c r="A126" s="5" t="str">
        <f>HYPERLINK("https://tienda.tarracoimportexport.com/index.php?id_product=7730&amp;controller=product&amp;id_lang=4", "TR008896")</f>
        <v>TR008896</v>
      </c>
      <c r="B126" t="s">
        <v>482</v>
      </c>
      <c r="D126" s="4">
        <v>17658</v>
      </c>
      <c r="E126" t="s">
        <v>483</v>
      </c>
      <c r="F126" t="s">
        <v>16</v>
      </c>
      <c r="G126" t="s">
        <v>484</v>
      </c>
      <c r="H126">
        <v>10</v>
      </c>
      <c r="I126">
        <v>4860</v>
      </c>
      <c r="J126" t="s">
        <v>357</v>
      </c>
      <c r="K126" s="17">
        <v>0.48</v>
      </c>
      <c r="L126" s="3">
        <f t="shared" si="2"/>
        <v>0</v>
      </c>
      <c r="N126" t="s">
        <v>485</v>
      </c>
      <c r="O126" t="s">
        <v>486</v>
      </c>
      <c r="P126">
        <v>6.9550000000000001</v>
      </c>
    </row>
    <row r="127" spans="1:16" x14ac:dyDescent="0.35">
      <c r="A127" s="5" t="str">
        <f>HYPERLINK("https://tienda.tarracoimportexport.com/index.php?id_product=7674&amp;controller=product&amp;id_lang=4", "TR008842")</f>
        <v>TR008842</v>
      </c>
      <c r="B127" t="s">
        <v>487</v>
      </c>
      <c r="D127" s="4">
        <v>11394</v>
      </c>
      <c r="E127" t="s">
        <v>488</v>
      </c>
      <c r="F127" t="s">
        <v>16</v>
      </c>
      <c r="G127" t="s">
        <v>484</v>
      </c>
      <c r="H127">
        <v>10</v>
      </c>
      <c r="I127">
        <v>4860</v>
      </c>
      <c r="J127" t="s">
        <v>357</v>
      </c>
      <c r="K127" s="17">
        <v>0.48</v>
      </c>
      <c r="L127" s="3">
        <f t="shared" si="2"/>
        <v>0</v>
      </c>
      <c r="N127" t="s">
        <v>489</v>
      </c>
      <c r="O127" t="s">
        <v>486</v>
      </c>
      <c r="P127">
        <v>7.05</v>
      </c>
    </row>
    <row r="128" spans="1:16" x14ac:dyDescent="0.35">
      <c r="A128" s="5" t="str">
        <f>HYPERLINK("https://tienda.tarracoimportexport.com/index.php?id_product=635&amp;controller=product&amp;id_lang=4", "TR000691")</f>
        <v>TR000691</v>
      </c>
      <c r="B128" t="s">
        <v>490</v>
      </c>
      <c r="D128" s="4">
        <v>35904</v>
      </c>
      <c r="E128" t="s">
        <v>491</v>
      </c>
      <c r="F128" t="s">
        <v>16</v>
      </c>
      <c r="G128" t="s">
        <v>50</v>
      </c>
      <c r="H128">
        <v>36</v>
      </c>
      <c r="I128">
        <v>3456</v>
      </c>
      <c r="J128" t="s">
        <v>51</v>
      </c>
      <c r="K128" s="17">
        <v>0.34</v>
      </c>
      <c r="L128" s="3">
        <f t="shared" si="2"/>
        <v>0</v>
      </c>
      <c r="N128" t="s">
        <v>492</v>
      </c>
      <c r="O128" t="s">
        <v>42</v>
      </c>
      <c r="P128">
        <v>0.31</v>
      </c>
    </row>
    <row r="129" spans="1:16" x14ac:dyDescent="0.35">
      <c r="A129" s="5" t="str">
        <f>HYPERLINK("https://tienda.tarracoimportexport.com/index.php?id_product=10874&amp;controller=product&amp;id_lang=4", "TR011820")</f>
        <v>TR011820</v>
      </c>
      <c r="B129" t="s">
        <v>490</v>
      </c>
      <c r="D129" s="4">
        <v>216</v>
      </c>
      <c r="E129" t="s">
        <v>491</v>
      </c>
      <c r="F129" t="s">
        <v>16</v>
      </c>
      <c r="G129" t="s">
        <v>50</v>
      </c>
      <c r="H129">
        <v>18</v>
      </c>
      <c r="I129">
        <v>216</v>
      </c>
      <c r="J129" t="s">
        <v>21</v>
      </c>
      <c r="K129" s="17">
        <v>0.35</v>
      </c>
      <c r="L129" s="3">
        <f t="shared" si="2"/>
        <v>0</v>
      </c>
      <c r="N129" t="s">
        <v>493</v>
      </c>
      <c r="O129" t="s">
        <v>42</v>
      </c>
      <c r="P129">
        <v>0.308</v>
      </c>
    </row>
    <row r="130" spans="1:16" x14ac:dyDescent="0.35">
      <c r="A130" s="5" t="str">
        <f>HYPERLINK("https://tienda.tarracoimportexport.com/index.php?id_product=261&amp;controller=product&amp;id_lang=4", "TR001869")</f>
        <v>TR001869</v>
      </c>
      <c r="B130" t="s">
        <v>494</v>
      </c>
      <c r="D130" s="4">
        <v>26832</v>
      </c>
      <c r="E130" t="s">
        <v>495</v>
      </c>
      <c r="F130" t="s">
        <v>16</v>
      </c>
      <c r="G130" t="s">
        <v>50</v>
      </c>
      <c r="H130">
        <v>40</v>
      </c>
      <c r="I130">
        <v>3360</v>
      </c>
      <c r="J130" t="s">
        <v>496</v>
      </c>
      <c r="K130" s="17">
        <v>0.56000000000000005</v>
      </c>
      <c r="L130" s="3">
        <f t="shared" si="2"/>
        <v>0</v>
      </c>
      <c r="N130" t="s">
        <v>495</v>
      </c>
      <c r="O130" t="s">
        <v>86</v>
      </c>
      <c r="P130">
        <v>0.42</v>
      </c>
    </row>
    <row r="131" spans="1:16" x14ac:dyDescent="0.35">
      <c r="A131" s="5" t="str">
        <f>HYPERLINK("https://tienda.tarracoimportexport.com/index.php?id_product=7292&amp;controller=product&amp;id_lang=4", "TR008477")</f>
        <v>TR008477</v>
      </c>
      <c r="B131" t="s">
        <v>497</v>
      </c>
      <c r="D131" s="4">
        <v>21000</v>
      </c>
      <c r="E131" t="s">
        <v>498</v>
      </c>
      <c r="F131" t="s">
        <v>16</v>
      </c>
      <c r="G131" t="s">
        <v>50</v>
      </c>
      <c r="H131">
        <v>25</v>
      </c>
      <c r="I131">
        <v>2100</v>
      </c>
      <c r="J131" t="s">
        <v>499</v>
      </c>
      <c r="K131" s="17">
        <v>0.6</v>
      </c>
      <c r="L131" s="3">
        <f t="shared" si="2"/>
        <v>0</v>
      </c>
      <c r="N131" t="s">
        <v>500</v>
      </c>
      <c r="O131" t="s">
        <v>75</v>
      </c>
      <c r="P131">
        <v>0.56000000000000005</v>
      </c>
    </row>
    <row r="132" spans="1:16" x14ac:dyDescent="0.35">
      <c r="A132" s="5" t="str">
        <f>HYPERLINK("https://tienda.tarracoimportexport.com/index.php?id_product=8138&amp;controller=product&amp;id_lang=4", "TR009294")</f>
        <v>TR009294</v>
      </c>
      <c r="B132" t="s">
        <v>501</v>
      </c>
      <c r="D132" s="4">
        <v>1080</v>
      </c>
      <c r="E132" t="s">
        <v>502</v>
      </c>
      <c r="F132" t="s">
        <v>171</v>
      </c>
      <c r="G132" t="s">
        <v>94</v>
      </c>
      <c r="H132">
        <v>6</v>
      </c>
      <c r="I132">
        <v>3024</v>
      </c>
      <c r="J132" t="s">
        <v>334</v>
      </c>
      <c r="K132" s="17">
        <v>0.87</v>
      </c>
      <c r="L132" s="3">
        <f t="shared" si="2"/>
        <v>0</v>
      </c>
      <c r="N132" t="s">
        <v>503</v>
      </c>
      <c r="O132" t="s">
        <v>504</v>
      </c>
      <c r="P132">
        <v>13.33</v>
      </c>
    </row>
    <row r="133" spans="1:16" x14ac:dyDescent="0.35">
      <c r="A133" s="5" t="str">
        <f>HYPERLINK("https://tienda.tarracoimportexport.com/index.php?id_product=8680&amp;controller=product&amp;id_lang=4", "TR009807")</f>
        <v>TR009807</v>
      </c>
      <c r="B133" t="s">
        <v>505</v>
      </c>
      <c r="D133" s="4">
        <v>1200</v>
      </c>
      <c r="E133" t="s">
        <v>506</v>
      </c>
      <c r="F133" t="s">
        <v>148</v>
      </c>
      <c r="G133" t="s">
        <v>50</v>
      </c>
      <c r="H133">
        <v>61</v>
      </c>
      <c r="I133">
        <v>3660</v>
      </c>
      <c r="J133" t="s">
        <v>507</v>
      </c>
      <c r="K133" s="17">
        <v>0.68</v>
      </c>
      <c r="L133" s="3">
        <f t="shared" si="2"/>
        <v>0</v>
      </c>
      <c r="N133" t="s">
        <v>508</v>
      </c>
      <c r="O133" t="s">
        <v>86</v>
      </c>
      <c r="P133">
        <v>1.39</v>
      </c>
    </row>
    <row r="134" spans="1:16" x14ac:dyDescent="0.35">
      <c r="A134" s="5" t="str">
        <f>HYPERLINK("https://tienda.tarracoimportexport.com/index.php?id_product=7141&amp;controller=product&amp;id_lang=4", "TR008235")</f>
        <v>TR008235</v>
      </c>
      <c r="B134" t="s">
        <v>509</v>
      </c>
      <c r="D134" s="4">
        <v>23088</v>
      </c>
      <c r="E134" t="s">
        <v>510</v>
      </c>
      <c r="F134" t="s">
        <v>16</v>
      </c>
      <c r="G134" t="s">
        <v>50</v>
      </c>
      <c r="H134">
        <v>37</v>
      </c>
      <c r="I134">
        <v>2220</v>
      </c>
      <c r="J134" t="s">
        <v>511</v>
      </c>
      <c r="K134" s="17">
        <v>0.97</v>
      </c>
      <c r="L134" s="3">
        <f t="shared" si="2"/>
        <v>0</v>
      </c>
      <c r="N134" t="s">
        <v>512</v>
      </c>
      <c r="O134" t="s">
        <v>513</v>
      </c>
      <c r="P134">
        <v>1.595</v>
      </c>
    </row>
    <row r="135" spans="1:16" x14ac:dyDescent="0.35">
      <c r="A135" s="5" t="str">
        <f>HYPERLINK("https://tienda.tarracoimportexport.com/index.php?id_product=10158&amp;controller=product&amp;id_lang=4", "TR011194")</f>
        <v>TR011194</v>
      </c>
      <c r="B135" t="s">
        <v>514</v>
      </c>
      <c r="D135" s="4">
        <v>1570</v>
      </c>
      <c r="E135" t="s">
        <v>515</v>
      </c>
      <c r="F135" t="s">
        <v>16</v>
      </c>
      <c r="G135" t="s">
        <v>27</v>
      </c>
      <c r="H135">
        <v>12</v>
      </c>
      <c r="I135">
        <v>600</v>
      </c>
      <c r="J135" t="s">
        <v>516</v>
      </c>
      <c r="K135" s="17">
        <v>1.28</v>
      </c>
      <c r="L135" s="3">
        <f t="shared" si="2"/>
        <v>0</v>
      </c>
      <c r="N135" t="s">
        <v>517</v>
      </c>
      <c r="O135" t="s">
        <v>30</v>
      </c>
      <c r="P135">
        <v>13.135</v>
      </c>
    </row>
    <row r="136" spans="1:16" x14ac:dyDescent="0.35">
      <c r="A136" s="5" t="str">
        <f>HYPERLINK("https://tienda.tarracoimportexport.com/index.php?id_product=7927&amp;controller=product&amp;id_lang=4", "TR009087")</f>
        <v>TR009087</v>
      </c>
      <c r="B136" t="s">
        <v>518</v>
      </c>
      <c r="D136" s="4">
        <v>3900</v>
      </c>
      <c r="E136" t="s">
        <v>519</v>
      </c>
      <c r="F136" t="s">
        <v>16</v>
      </c>
      <c r="G136" t="s">
        <v>27</v>
      </c>
      <c r="H136">
        <v>12</v>
      </c>
      <c r="I136">
        <v>600</v>
      </c>
      <c r="J136" t="s">
        <v>516</v>
      </c>
      <c r="K136" s="17">
        <v>1.99</v>
      </c>
      <c r="L136" s="3">
        <f t="shared" si="2"/>
        <v>0</v>
      </c>
      <c r="N136" t="s">
        <v>520</v>
      </c>
      <c r="O136" t="s">
        <v>30</v>
      </c>
      <c r="P136">
        <v>12.725</v>
      </c>
    </row>
    <row r="137" spans="1:16" x14ac:dyDescent="0.35">
      <c r="A137" s="5" t="str">
        <f>HYPERLINK("https://tienda.tarracoimportexport.com/index.php?id_product=7884&amp;controller=product&amp;id_lang=4", "TR009046")</f>
        <v>TR009046</v>
      </c>
      <c r="B137" t="s">
        <v>521</v>
      </c>
      <c r="D137" s="4">
        <v>11360</v>
      </c>
      <c r="E137" t="s">
        <v>522</v>
      </c>
      <c r="F137" t="s">
        <v>16</v>
      </c>
      <c r="G137" t="s">
        <v>62</v>
      </c>
      <c r="H137">
        <v>7</v>
      </c>
      <c r="I137">
        <v>280</v>
      </c>
      <c r="J137" t="s">
        <v>28</v>
      </c>
      <c r="K137" s="17">
        <v>1.78</v>
      </c>
      <c r="L137" s="3">
        <f t="shared" si="2"/>
        <v>0</v>
      </c>
      <c r="N137" t="s">
        <v>523</v>
      </c>
      <c r="O137" t="s">
        <v>30</v>
      </c>
      <c r="P137">
        <v>12.605</v>
      </c>
    </row>
    <row r="138" spans="1:16" x14ac:dyDescent="0.35">
      <c r="A138" s="5" t="str">
        <f>HYPERLINK("https://tienda.tarracoimportexport.com/index.php?id_product=8883&amp;controller=product&amp;id_lang=4", "TR009972")</f>
        <v>TR009972</v>
      </c>
      <c r="B138" t="s">
        <v>524</v>
      </c>
      <c r="D138" s="4">
        <v>94</v>
      </c>
      <c r="E138" t="s">
        <v>525</v>
      </c>
      <c r="F138" t="s">
        <v>16</v>
      </c>
      <c r="G138" t="s">
        <v>526</v>
      </c>
      <c r="H138">
        <v>27</v>
      </c>
      <c r="I138">
        <v>135</v>
      </c>
      <c r="J138" t="s">
        <v>527</v>
      </c>
      <c r="K138" s="17">
        <v>6.84</v>
      </c>
      <c r="L138" s="3">
        <f t="shared" si="2"/>
        <v>0</v>
      </c>
      <c r="N138" t="s">
        <v>525</v>
      </c>
      <c r="O138" t="s">
        <v>30</v>
      </c>
      <c r="P138">
        <v>5.085</v>
      </c>
    </row>
    <row r="139" spans="1:16" x14ac:dyDescent="0.35">
      <c r="A139" s="5" t="str">
        <f>HYPERLINK("https://tienda.tarracoimportexport.com/index.php?id_product=1376&amp;controller=product&amp;id_lang=4", "TR003100")</f>
        <v>TR003100</v>
      </c>
      <c r="B139" t="s">
        <v>528</v>
      </c>
      <c r="D139" s="4">
        <v>3388</v>
      </c>
      <c r="E139" t="s">
        <v>529</v>
      </c>
      <c r="F139" t="s">
        <v>16</v>
      </c>
      <c r="G139" t="s">
        <v>530</v>
      </c>
      <c r="H139">
        <v>10</v>
      </c>
      <c r="I139">
        <v>1680</v>
      </c>
      <c r="J139" t="s">
        <v>516</v>
      </c>
      <c r="K139" s="17">
        <v>0.72</v>
      </c>
      <c r="L139" s="3">
        <f t="shared" si="2"/>
        <v>0</v>
      </c>
      <c r="N139" t="s">
        <v>531</v>
      </c>
      <c r="O139" t="s">
        <v>532</v>
      </c>
      <c r="P139">
        <v>1.3</v>
      </c>
    </row>
    <row r="140" spans="1:16" x14ac:dyDescent="0.35">
      <c r="A140" s="5" t="str">
        <f>HYPERLINK("https://tienda.tarracoimportexport.com/index.php?id_product=10722&amp;controller=product&amp;id_lang=4", "TR011686")</f>
        <v>TR011686</v>
      </c>
      <c r="B140" t="s">
        <v>533</v>
      </c>
      <c r="D140" s="4">
        <v>68</v>
      </c>
      <c r="E140" t="s">
        <v>534</v>
      </c>
      <c r="F140" t="s">
        <v>16</v>
      </c>
      <c r="G140" t="s">
        <v>242</v>
      </c>
      <c r="H140">
        <v>12</v>
      </c>
      <c r="I140">
        <v>192</v>
      </c>
      <c r="J140" t="s">
        <v>202</v>
      </c>
      <c r="K140" s="17">
        <v>3.8</v>
      </c>
      <c r="L140" s="3">
        <f t="shared" si="2"/>
        <v>0</v>
      </c>
      <c r="N140" t="s">
        <v>535</v>
      </c>
      <c r="O140" t="s">
        <v>30</v>
      </c>
      <c r="P140">
        <v>11.175000000000001</v>
      </c>
    </row>
    <row r="141" spans="1:16" x14ac:dyDescent="0.35">
      <c r="A141" s="5" t="str">
        <f>HYPERLINK("https://tienda.tarracoimportexport.com/index.php?id_product=10930&amp;controller=product&amp;id_lang=4", "TR011876")</f>
        <v>TR011876</v>
      </c>
      <c r="B141" t="s">
        <v>536</v>
      </c>
      <c r="D141" s="4">
        <v>197</v>
      </c>
      <c r="E141" t="s">
        <v>537</v>
      </c>
      <c r="F141" t="s">
        <v>16</v>
      </c>
      <c r="G141" t="s">
        <v>526</v>
      </c>
      <c r="H141">
        <v>7</v>
      </c>
      <c r="I141">
        <v>21</v>
      </c>
      <c r="J141" t="s">
        <v>191</v>
      </c>
      <c r="K141" s="17">
        <v>23.89</v>
      </c>
      <c r="L141" s="3">
        <f t="shared" si="2"/>
        <v>0</v>
      </c>
      <c r="N141" t="s">
        <v>537</v>
      </c>
      <c r="O141" t="s">
        <v>538</v>
      </c>
      <c r="P141">
        <v>4.75</v>
      </c>
    </row>
    <row r="142" spans="1:16" x14ac:dyDescent="0.35">
      <c r="A142" s="5" t="str">
        <f>HYPERLINK("https://tienda.tarracoimportexport.com/index.php?id_product=10889&amp;controller=product&amp;id_lang=4", "TR011835")</f>
        <v>TR011835</v>
      </c>
      <c r="B142" t="s">
        <v>540</v>
      </c>
      <c r="D142" s="4">
        <v>2113</v>
      </c>
      <c r="E142" t="s">
        <v>541</v>
      </c>
      <c r="F142" t="s">
        <v>16</v>
      </c>
      <c r="G142" t="s">
        <v>526</v>
      </c>
      <c r="H142">
        <v>11</v>
      </c>
      <c r="I142">
        <v>55</v>
      </c>
      <c r="J142" t="s">
        <v>542</v>
      </c>
      <c r="K142" s="17">
        <v>11.59</v>
      </c>
      <c r="L142" s="3">
        <f t="shared" si="2"/>
        <v>0</v>
      </c>
      <c r="N142" t="s">
        <v>541</v>
      </c>
      <c r="O142" t="s">
        <v>538</v>
      </c>
      <c r="P142">
        <v>1.92</v>
      </c>
    </row>
    <row r="143" spans="1:16" x14ac:dyDescent="0.35">
      <c r="A143" s="5" t="str">
        <f>HYPERLINK("https://tienda.tarracoimportexport.com/index.php?id_product=10928&amp;controller=product&amp;id_lang=4", "TR011874")</f>
        <v>TR011874</v>
      </c>
      <c r="B143" t="s">
        <v>543</v>
      </c>
      <c r="D143" s="4">
        <v>461</v>
      </c>
      <c r="E143" t="s">
        <v>544</v>
      </c>
      <c r="F143" t="s">
        <v>16</v>
      </c>
      <c r="G143" t="s">
        <v>526</v>
      </c>
      <c r="H143">
        <v>6</v>
      </c>
      <c r="I143">
        <v>12</v>
      </c>
      <c r="J143" t="s">
        <v>50</v>
      </c>
      <c r="K143" s="17">
        <v>24.79</v>
      </c>
      <c r="L143" s="3">
        <f t="shared" si="2"/>
        <v>0</v>
      </c>
      <c r="N143" t="s">
        <v>544</v>
      </c>
      <c r="O143" t="s">
        <v>545</v>
      </c>
      <c r="P143">
        <v>5.5</v>
      </c>
    </row>
    <row r="144" spans="1:16" x14ac:dyDescent="0.35">
      <c r="A144" s="5" t="str">
        <f>HYPERLINK("https://tienda.tarracoimportexport.com/index.php?id_product=9915&amp;controller=product&amp;id_lang=4", "TR010961")</f>
        <v>TR010961</v>
      </c>
      <c r="B144" t="s">
        <v>547</v>
      </c>
      <c r="D144" s="4">
        <v>15132</v>
      </c>
      <c r="E144" t="s">
        <v>548</v>
      </c>
      <c r="F144" t="s">
        <v>16</v>
      </c>
      <c r="G144" t="s">
        <v>50</v>
      </c>
      <c r="H144">
        <v>16</v>
      </c>
      <c r="I144">
        <v>1344</v>
      </c>
      <c r="J144" t="s">
        <v>336</v>
      </c>
      <c r="K144" s="17">
        <v>1.55</v>
      </c>
      <c r="L144" s="3">
        <f t="shared" si="2"/>
        <v>0</v>
      </c>
      <c r="N144" t="s">
        <v>549</v>
      </c>
      <c r="O144" t="s">
        <v>550</v>
      </c>
      <c r="P144">
        <v>6.21</v>
      </c>
    </row>
    <row r="145" spans="1:16" x14ac:dyDescent="0.35">
      <c r="A145" s="5" t="str">
        <f>HYPERLINK("https://tienda.tarracoimportexport.com/index.php?id_product=9913&amp;controller=product&amp;id_lang=4", "TR010959")</f>
        <v>TR010959</v>
      </c>
      <c r="B145" t="s">
        <v>551</v>
      </c>
      <c r="D145" s="4">
        <v>804</v>
      </c>
      <c r="E145" t="s">
        <v>552</v>
      </c>
      <c r="F145" t="s">
        <v>16</v>
      </c>
      <c r="G145" t="s">
        <v>50</v>
      </c>
      <c r="H145">
        <v>16</v>
      </c>
      <c r="I145">
        <v>1344</v>
      </c>
      <c r="J145" t="s">
        <v>336</v>
      </c>
      <c r="K145" s="17">
        <v>1.55</v>
      </c>
      <c r="L145" s="3">
        <f t="shared" si="2"/>
        <v>0</v>
      </c>
      <c r="N145" t="s">
        <v>553</v>
      </c>
      <c r="O145" t="s">
        <v>550</v>
      </c>
      <c r="P145">
        <v>6.1950000000000003</v>
      </c>
    </row>
    <row r="146" spans="1:16" x14ac:dyDescent="0.35">
      <c r="A146" s="5" t="str">
        <f>HYPERLINK("https://tienda.tarracoimportexport.com/index.php?id_product=9876&amp;controller=product&amp;id_lang=4", "TR010922")</f>
        <v>TR010922</v>
      </c>
      <c r="B146" t="s">
        <v>554</v>
      </c>
      <c r="D146" s="4">
        <v>11928</v>
      </c>
      <c r="E146" t="s">
        <v>555</v>
      </c>
      <c r="F146" t="s">
        <v>16</v>
      </c>
      <c r="G146" t="s">
        <v>50</v>
      </c>
      <c r="H146">
        <v>16</v>
      </c>
      <c r="I146">
        <v>1152</v>
      </c>
      <c r="J146" t="s">
        <v>374</v>
      </c>
      <c r="K146" s="17">
        <v>1.55</v>
      </c>
      <c r="L146" s="3">
        <f t="shared" si="2"/>
        <v>0</v>
      </c>
      <c r="N146" t="s">
        <v>556</v>
      </c>
      <c r="O146" t="s">
        <v>550</v>
      </c>
      <c r="P146">
        <v>6.1950000000000003</v>
      </c>
    </row>
    <row r="147" spans="1:16" x14ac:dyDescent="0.35">
      <c r="A147" s="5" t="str">
        <f>HYPERLINK("https://tienda.tarracoimportexport.com/index.php?id_product=9986&amp;controller=product&amp;id_lang=4", "TR011028")</f>
        <v>TR011028</v>
      </c>
      <c r="B147" t="s">
        <v>557</v>
      </c>
      <c r="D147" s="4">
        <v>3732</v>
      </c>
      <c r="E147" t="s">
        <v>558</v>
      </c>
      <c r="F147" t="s">
        <v>16</v>
      </c>
      <c r="G147" t="s">
        <v>50</v>
      </c>
      <c r="H147">
        <v>16</v>
      </c>
      <c r="I147">
        <v>1152</v>
      </c>
      <c r="J147" t="s">
        <v>374</v>
      </c>
      <c r="K147" s="17">
        <v>1.55</v>
      </c>
      <c r="L147" s="3">
        <f t="shared" si="2"/>
        <v>0</v>
      </c>
      <c r="N147" t="s">
        <v>559</v>
      </c>
      <c r="O147" t="s">
        <v>550</v>
      </c>
      <c r="P147">
        <v>6.1849999999999996</v>
      </c>
    </row>
    <row r="148" spans="1:16" x14ac:dyDescent="0.35">
      <c r="A148" s="5" t="str">
        <f>HYPERLINK("https://tienda.tarracoimportexport.com/index.php?id_product=9987&amp;controller=product&amp;id_lang=4", "TR011029")</f>
        <v>TR011029</v>
      </c>
      <c r="B148" t="s">
        <v>560</v>
      </c>
      <c r="D148" s="4">
        <v>3744</v>
      </c>
      <c r="E148" t="s">
        <v>561</v>
      </c>
      <c r="F148" t="s">
        <v>16</v>
      </c>
      <c r="G148" t="s">
        <v>50</v>
      </c>
      <c r="H148">
        <v>16</v>
      </c>
      <c r="I148">
        <v>1152</v>
      </c>
      <c r="J148" t="s">
        <v>374</v>
      </c>
      <c r="K148" s="17">
        <v>1.55</v>
      </c>
      <c r="L148" s="3">
        <f t="shared" si="2"/>
        <v>0</v>
      </c>
      <c r="N148" t="s">
        <v>562</v>
      </c>
      <c r="O148" t="s">
        <v>550</v>
      </c>
      <c r="P148">
        <v>6.1950000000000003</v>
      </c>
    </row>
    <row r="149" spans="1:16" x14ac:dyDescent="0.35">
      <c r="A149" s="5" t="str">
        <f>HYPERLINK("https://tienda.tarracoimportexport.com/index.php?id_product=9591&amp;controller=product&amp;id_lang=4", "TR010648")</f>
        <v>TR010648</v>
      </c>
      <c r="B149" t="s">
        <v>563</v>
      </c>
      <c r="D149" s="4">
        <v>155</v>
      </c>
      <c r="E149" t="s">
        <v>564</v>
      </c>
      <c r="F149" t="s">
        <v>16</v>
      </c>
      <c r="G149" t="s">
        <v>526</v>
      </c>
      <c r="H149">
        <v>12</v>
      </c>
      <c r="I149">
        <v>120</v>
      </c>
      <c r="J149" t="s">
        <v>63</v>
      </c>
      <c r="K149" s="17">
        <v>9.99</v>
      </c>
      <c r="L149" s="3">
        <f t="shared" si="2"/>
        <v>0</v>
      </c>
      <c r="N149" t="s">
        <v>564</v>
      </c>
      <c r="O149" t="s">
        <v>550</v>
      </c>
      <c r="P149">
        <v>1.6850000000000001</v>
      </c>
    </row>
    <row r="150" spans="1:16" x14ac:dyDescent="0.35">
      <c r="A150" s="5" t="str">
        <f>HYPERLINK("https://tienda.tarracoimportexport.com/index.php?id_product=7083&amp;controller=product&amp;id_lang=4", "TR008177")</f>
        <v>TR008177</v>
      </c>
      <c r="B150" t="s">
        <v>565</v>
      </c>
      <c r="D150" s="4">
        <v>39072</v>
      </c>
      <c r="E150" t="s">
        <v>566</v>
      </c>
      <c r="F150" t="s">
        <v>16</v>
      </c>
      <c r="G150" t="s">
        <v>202</v>
      </c>
      <c r="H150">
        <v>17</v>
      </c>
      <c r="I150">
        <v>6528</v>
      </c>
      <c r="J150" t="s">
        <v>567</v>
      </c>
      <c r="K150" s="17">
        <v>0.79</v>
      </c>
      <c r="L150" s="3">
        <f t="shared" si="2"/>
        <v>0</v>
      </c>
      <c r="N150" t="s">
        <v>568</v>
      </c>
      <c r="O150" t="s">
        <v>569</v>
      </c>
      <c r="P150">
        <v>4.95</v>
      </c>
    </row>
    <row r="151" spans="1:16" x14ac:dyDescent="0.35">
      <c r="A151" s="5" t="str">
        <f>HYPERLINK("https://tienda.tarracoimportexport.com/index.php?id_product=287&amp;controller=product&amp;id_lang=4", "TR000251")</f>
        <v>TR000251</v>
      </c>
      <c r="B151" t="s">
        <v>570</v>
      </c>
      <c r="D151" s="4">
        <v>65826</v>
      </c>
      <c r="E151" t="s">
        <v>571</v>
      </c>
      <c r="F151" t="s">
        <v>16</v>
      </c>
      <c r="G151" t="s">
        <v>39</v>
      </c>
      <c r="H151">
        <v>59</v>
      </c>
      <c r="I151">
        <v>3186</v>
      </c>
      <c r="J151" t="s">
        <v>572</v>
      </c>
      <c r="K151" s="17">
        <v>1.55</v>
      </c>
      <c r="L151" s="3">
        <f t="shared" si="2"/>
        <v>0</v>
      </c>
      <c r="N151" t="s">
        <v>571</v>
      </c>
      <c r="O151" t="s">
        <v>573</v>
      </c>
      <c r="P151">
        <v>0.57999999999999996</v>
      </c>
    </row>
    <row r="152" spans="1:16" x14ac:dyDescent="0.35">
      <c r="A152" s="5" t="str">
        <f>HYPERLINK("https://tienda.tarracoimportexport.com/index.php?id_product=9282&amp;controller=product&amp;id_lang=4", "TR010355")</f>
        <v>TR010355</v>
      </c>
      <c r="B152" t="s">
        <v>574</v>
      </c>
      <c r="D152" s="4">
        <v>3360</v>
      </c>
      <c r="E152" t="s">
        <v>575</v>
      </c>
      <c r="F152" t="s">
        <v>16</v>
      </c>
      <c r="G152" t="s">
        <v>39</v>
      </c>
      <c r="H152">
        <v>64</v>
      </c>
      <c r="I152">
        <v>2688</v>
      </c>
      <c r="J152" t="s">
        <v>576</v>
      </c>
      <c r="K152" s="17">
        <v>1.58</v>
      </c>
      <c r="L152" s="3">
        <f t="shared" si="2"/>
        <v>0</v>
      </c>
      <c r="N152" t="s">
        <v>577</v>
      </c>
      <c r="O152" t="s">
        <v>578</v>
      </c>
      <c r="P152">
        <v>0.755</v>
      </c>
    </row>
    <row r="153" spans="1:16" x14ac:dyDescent="0.35">
      <c r="A153" s="5" t="str">
        <f>HYPERLINK("https://tienda.tarracoimportexport.com/index.php?id_product=10764&amp;controller=product&amp;id_lang=4", "TR011723")</f>
        <v>TR011723</v>
      </c>
      <c r="B153" t="s">
        <v>579</v>
      </c>
      <c r="D153" s="4">
        <v>5496</v>
      </c>
      <c r="E153" t="s">
        <v>580</v>
      </c>
      <c r="F153" t="s">
        <v>16</v>
      </c>
      <c r="G153" t="s">
        <v>39</v>
      </c>
      <c r="H153">
        <v>64</v>
      </c>
      <c r="I153">
        <v>2304</v>
      </c>
      <c r="J153" t="s">
        <v>581</v>
      </c>
      <c r="K153" s="17">
        <v>1.77</v>
      </c>
      <c r="L153" s="3">
        <f t="shared" si="2"/>
        <v>0</v>
      </c>
      <c r="N153" t="s">
        <v>582</v>
      </c>
      <c r="O153" t="s">
        <v>583</v>
      </c>
      <c r="P153">
        <v>0.94</v>
      </c>
    </row>
    <row r="154" spans="1:16" x14ac:dyDescent="0.35">
      <c r="A154" s="5" t="str">
        <f>HYPERLINK("https://tienda.tarracoimportexport.com/index.php?id_product=10763&amp;controller=product&amp;id_lang=4", "TR011722")</f>
        <v>TR011722</v>
      </c>
      <c r="B154" t="s">
        <v>584</v>
      </c>
      <c r="D154" s="4">
        <v>5964</v>
      </c>
      <c r="E154" t="s">
        <v>585</v>
      </c>
      <c r="F154" t="s">
        <v>16</v>
      </c>
      <c r="G154" t="s">
        <v>39</v>
      </c>
      <c r="H154">
        <v>64</v>
      </c>
      <c r="I154">
        <v>2304</v>
      </c>
      <c r="J154" t="s">
        <v>581</v>
      </c>
      <c r="K154" s="17">
        <v>1.77</v>
      </c>
      <c r="L154" s="3">
        <f t="shared" si="2"/>
        <v>0</v>
      </c>
      <c r="N154" t="s">
        <v>586</v>
      </c>
      <c r="O154" t="s">
        <v>587</v>
      </c>
      <c r="P154">
        <v>0.94</v>
      </c>
    </row>
    <row r="155" spans="1:16" x14ac:dyDescent="0.35">
      <c r="A155" s="5" t="str">
        <f>HYPERLINK("https://tienda.tarracoimportexport.com/index.php?id_product=10762&amp;controller=product&amp;id_lang=4", "TR011721")</f>
        <v>TR011721</v>
      </c>
      <c r="B155" t="s">
        <v>588</v>
      </c>
      <c r="D155" s="4">
        <v>3360</v>
      </c>
      <c r="E155" t="s">
        <v>589</v>
      </c>
      <c r="F155" t="s">
        <v>16</v>
      </c>
      <c r="G155" t="s">
        <v>39</v>
      </c>
      <c r="H155">
        <v>64</v>
      </c>
      <c r="I155">
        <v>2304</v>
      </c>
      <c r="J155" t="s">
        <v>581</v>
      </c>
      <c r="K155" s="17">
        <v>1.77</v>
      </c>
      <c r="L155" s="3">
        <f t="shared" si="2"/>
        <v>0</v>
      </c>
      <c r="N155" t="s">
        <v>590</v>
      </c>
      <c r="O155" t="s">
        <v>591</v>
      </c>
      <c r="P155">
        <v>0.94</v>
      </c>
    </row>
    <row r="156" spans="1:16" x14ac:dyDescent="0.35">
      <c r="A156" s="5" t="str">
        <f>HYPERLINK("https://tienda.tarracoimportexport.com/index.php?id_product=10545&amp;controller=product&amp;id_lang=4", "TR011521")</f>
        <v>TR011521</v>
      </c>
      <c r="B156" t="s">
        <v>592</v>
      </c>
      <c r="D156" s="4">
        <v>11994</v>
      </c>
      <c r="E156" t="s">
        <v>593</v>
      </c>
      <c r="F156" t="s">
        <v>16</v>
      </c>
      <c r="G156" t="s">
        <v>39</v>
      </c>
      <c r="H156">
        <v>64</v>
      </c>
      <c r="I156">
        <v>2304</v>
      </c>
      <c r="J156" t="s">
        <v>581</v>
      </c>
      <c r="K156" s="17">
        <v>1.52</v>
      </c>
      <c r="L156" s="3">
        <f t="shared" si="2"/>
        <v>0</v>
      </c>
      <c r="N156" t="s">
        <v>594</v>
      </c>
      <c r="O156" t="s">
        <v>595</v>
      </c>
      <c r="P156">
        <v>0.91500000000000004</v>
      </c>
    </row>
    <row r="157" spans="1:16" x14ac:dyDescent="0.35">
      <c r="A157" s="5" t="str">
        <f>HYPERLINK("https://tienda.tarracoimportexport.com/index.php?id_product=9637&amp;controller=product&amp;id_lang=4", "TR010690")</f>
        <v>TR010690</v>
      </c>
      <c r="B157" t="s">
        <v>596</v>
      </c>
      <c r="D157" s="4">
        <v>276</v>
      </c>
      <c r="E157" t="s">
        <v>597</v>
      </c>
      <c r="F157" t="s">
        <v>16</v>
      </c>
      <c r="G157" t="s">
        <v>39</v>
      </c>
      <c r="H157">
        <v>64</v>
      </c>
      <c r="I157">
        <v>2304</v>
      </c>
      <c r="J157" t="s">
        <v>581</v>
      </c>
      <c r="K157" s="17">
        <v>1.52</v>
      </c>
      <c r="L157" s="3">
        <f t="shared" si="2"/>
        <v>0</v>
      </c>
      <c r="N157" t="s">
        <v>598</v>
      </c>
      <c r="O157" t="s">
        <v>599</v>
      </c>
      <c r="P157">
        <v>0.94</v>
      </c>
    </row>
    <row r="158" spans="1:16" x14ac:dyDescent="0.35">
      <c r="A158" s="5" t="str">
        <f>HYPERLINK("https://tienda.tarracoimportexport.com/index.php?id_product=9638&amp;controller=product&amp;id_lang=4", "TR010691")</f>
        <v>TR010691</v>
      </c>
      <c r="B158" t="s">
        <v>600</v>
      </c>
      <c r="D158" s="4">
        <v>13242</v>
      </c>
      <c r="E158" t="s">
        <v>601</v>
      </c>
      <c r="F158" t="s">
        <v>16</v>
      </c>
      <c r="G158" t="s">
        <v>39</v>
      </c>
      <c r="H158">
        <v>64</v>
      </c>
      <c r="I158">
        <v>2304</v>
      </c>
      <c r="J158" t="s">
        <v>581</v>
      </c>
      <c r="K158" s="17">
        <v>1.52</v>
      </c>
      <c r="L158" s="3">
        <f t="shared" si="2"/>
        <v>0</v>
      </c>
      <c r="N158" t="s">
        <v>602</v>
      </c>
      <c r="O158" t="s">
        <v>603</v>
      </c>
      <c r="P158">
        <v>0.94</v>
      </c>
    </row>
    <row r="159" spans="1:16" x14ac:dyDescent="0.35">
      <c r="A159" s="5" t="str">
        <f>HYPERLINK("https://tienda.tarracoimportexport.com/index.php?id_product=9643&amp;controller=product&amp;id_lang=4", "TR010696")</f>
        <v>TR010696</v>
      </c>
      <c r="B159" t="s">
        <v>604</v>
      </c>
      <c r="D159" s="4">
        <v>1836</v>
      </c>
      <c r="E159" t="s">
        <v>605</v>
      </c>
      <c r="F159" t="s">
        <v>606</v>
      </c>
      <c r="G159" t="s">
        <v>39</v>
      </c>
      <c r="H159">
        <v>64</v>
      </c>
      <c r="I159">
        <v>2304</v>
      </c>
      <c r="J159" t="s">
        <v>581</v>
      </c>
      <c r="K159" s="17">
        <v>1.52</v>
      </c>
      <c r="L159" s="3">
        <f t="shared" si="2"/>
        <v>0</v>
      </c>
      <c r="N159" t="s">
        <v>607</v>
      </c>
      <c r="O159" t="s">
        <v>608</v>
      </c>
      <c r="P159">
        <v>0.93500000000000005</v>
      </c>
    </row>
    <row r="160" spans="1:16" x14ac:dyDescent="0.35">
      <c r="A160" s="5" t="str">
        <f>HYPERLINK("https://tienda.tarracoimportexport.com/index.php?id_product=9640&amp;controller=product&amp;id_lang=4", "TR010693")</f>
        <v>TR010693</v>
      </c>
      <c r="B160" t="s">
        <v>609</v>
      </c>
      <c r="D160" s="4">
        <v>13188</v>
      </c>
      <c r="E160" t="s">
        <v>610</v>
      </c>
      <c r="F160" t="s">
        <v>16</v>
      </c>
      <c r="G160" t="s">
        <v>39</v>
      </c>
      <c r="H160">
        <v>64</v>
      </c>
      <c r="I160">
        <v>2304</v>
      </c>
      <c r="J160" t="s">
        <v>581</v>
      </c>
      <c r="K160" s="17">
        <v>1.52</v>
      </c>
      <c r="L160" s="3">
        <f t="shared" si="2"/>
        <v>0</v>
      </c>
      <c r="N160" t="s">
        <v>611</v>
      </c>
      <c r="O160" t="s">
        <v>612</v>
      </c>
      <c r="P160">
        <v>0.92</v>
      </c>
    </row>
    <row r="161" spans="1:16" x14ac:dyDescent="0.35">
      <c r="A161" s="5" t="str">
        <f>HYPERLINK("https://tienda.tarracoimportexport.com/index.php?id_product=9642&amp;controller=product&amp;id_lang=4", "TR010695")</f>
        <v>TR010695</v>
      </c>
      <c r="B161" t="s">
        <v>613</v>
      </c>
      <c r="D161" s="4">
        <v>8568</v>
      </c>
      <c r="E161" t="s">
        <v>614</v>
      </c>
      <c r="F161" t="s">
        <v>16</v>
      </c>
      <c r="G161" t="s">
        <v>39</v>
      </c>
      <c r="H161">
        <v>64</v>
      </c>
      <c r="I161">
        <v>2304</v>
      </c>
      <c r="J161" t="s">
        <v>581</v>
      </c>
      <c r="K161" s="17">
        <v>1.52</v>
      </c>
      <c r="L161" s="3">
        <f t="shared" si="2"/>
        <v>0</v>
      </c>
      <c r="N161" t="s">
        <v>615</v>
      </c>
      <c r="O161" t="s">
        <v>616</v>
      </c>
      <c r="P161">
        <v>0.94</v>
      </c>
    </row>
    <row r="162" spans="1:16" x14ac:dyDescent="0.35">
      <c r="A162" s="5" t="str">
        <f>HYPERLINK("https://tienda.tarracoimportexport.com/index.php?id_product=2669&amp;controller=product&amp;id_lang=4", "TR004137")</f>
        <v>TR004137</v>
      </c>
      <c r="B162" t="s">
        <v>617</v>
      </c>
      <c r="D162" s="4">
        <v>11052</v>
      </c>
      <c r="E162" t="s">
        <v>618</v>
      </c>
      <c r="F162" t="s">
        <v>16</v>
      </c>
      <c r="G162" t="s">
        <v>39</v>
      </c>
      <c r="H162">
        <v>55</v>
      </c>
      <c r="I162">
        <v>1980</v>
      </c>
      <c r="J162" t="s">
        <v>619</v>
      </c>
      <c r="K162" s="17">
        <v>1.95</v>
      </c>
      <c r="L162" s="3">
        <f t="shared" si="2"/>
        <v>0</v>
      </c>
      <c r="N162" t="s">
        <v>620</v>
      </c>
      <c r="O162" t="s">
        <v>621</v>
      </c>
      <c r="P162">
        <v>1.2</v>
      </c>
    </row>
    <row r="163" spans="1:16" x14ac:dyDescent="0.35">
      <c r="A163" s="5" t="str">
        <f>HYPERLINK("https://tienda.tarracoimportexport.com/index.php?id_product=6112&amp;controller=product&amp;id_lang=4", "TR007254")</f>
        <v>TR007254</v>
      </c>
      <c r="B163" t="s">
        <v>622</v>
      </c>
      <c r="D163" s="4">
        <v>52032</v>
      </c>
      <c r="E163" t="s">
        <v>623</v>
      </c>
      <c r="F163" t="s">
        <v>16</v>
      </c>
      <c r="G163" t="s">
        <v>202</v>
      </c>
      <c r="H163">
        <v>17</v>
      </c>
      <c r="I163">
        <v>6528</v>
      </c>
      <c r="J163" t="s">
        <v>567</v>
      </c>
      <c r="K163" s="17">
        <v>0.55000000000000004</v>
      </c>
      <c r="L163" s="3">
        <f t="shared" si="2"/>
        <v>0</v>
      </c>
      <c r="N163" t="s">
        <v>624</v>
      </c>
      <c r="O163" t="s">
        <v>625</v>
      </c>
      <c r="P163">
        <v>4.75</v>
      </c>
    </row>
    <row r="164" spans="1:16" x14ac:dyDescent="0.35">
      <c r="A164" s="5" t="str">
        <f>HYPERLINK("https://tienda.tarracoimportexport.com/index.php?id_product=6111&amp;controller=product&amp;id_lang=4", "TR007253")</f>
        <v>TR007253</v>
      </c>
      <c r="B164" t="s">
        <v>626</v>
      </c>
      <c r="D164" s="4">
        <v>78096</v>
      </c>
      <c r="E164" t="s">
        <v>627</v>
      </c>
      <c r="F164" t="s">
        <v>16</v>
      </c>
      <c r="G164" t="s">
        <v>202</v>
      </c>
      <c r="H164">
        <v>16</v>
      </c>
      <c r="I164">
        <v>6144</v>
      </c>
      <c r="J164" t="s">
        <v>628</v>
      </c>
      <c r="K164" s="17">
        <v>0.55000000000000004</v>
      </c>
      <c r="L164" s="3">
        <f t="shared" si="2"/>
        <v>0</v>
      </c>
      <c r="N164" t="s">
        <v>629</v>
      </c>
      <c r="O164" t="s">
        <v>625</v>
      </c>
      <c r="P164">
        <v>4.93</v>
      </c>
    </row>
    <row r="165" spans="1:16" x14ac:dyDescent="0.35">
      <c r="A165" s="5" t="str">
        <f>HYPERLINK("https://tienda.tarracoimportexport.com/index.php?id_product=10794&amp;controller=product&amp;id_lang=4", "TR011742")</f>
        <v>TR011742</v>
      </c>
      <c r="B165" t="s">
        <v>630</v>
      </c>
      <c r="D165" s="4">
        <v>232392</v>
      </c>
      <c r="E165" t="s">
        <v>631</v>
      </c>
      <c r="F165" t="s">
        <v>16</v>
      </c>
      <c r="G165" t="s">
        <v>106</v>
      </c>
      <c r="H165">
        <v>32</v>
      </c>
      <c r="I165">
        <v>8448</v>
      </c>
      <c r="J165" t="s">
        <v>632</v>
      </c>
      <c r="K165" s="17">
        <v>0.85</v>
      </c>
      <c r="L165" s="3">
        <f t="shared" si="2"/>
        <v>0</v>
      </c>
      <c r="N165" t="s">
        <v>633</v>
      </c>
      <c r="O165" t="s">
        <v>634</v>
      </c>
      <c r="P165">
        <v>0.64700000000000002</v>
      </c>
    </row>
    <row r="166" spans="1:16" x14ac:dyDescent="0.35">
      <c r="A166" s="5" t="str">
        <f>HYPERLINK("https://tienda.tarracoimportexport.com/index.php?id_product=10404&amp;controller=product&amp;id_lang=4", "TR011395")</f>
        <v>TR011395</v>
      </c>
      <c r="B166" t="s">
        <v>630</v>
      </c>
      <c r="D166" s="4">
        <v>32208</v>
      </c>
      <c r="E166" t="s">
        <v>635</v>
      </c>
      <c r="F166" t="s">
        <v>16</v>
      </c>
      <c r="G166" t="s">
        <v>106</v>
      </c>
      <c r="H166">
        <v>32</v>
      </c>
      <c r="I166">
        <v>8448</v>
      </c>
      <c r="J166" t="s">
        <v>632</v>
      </c>
      <c r="K166" s="17">
        <v>0.85</v>
      </c>
      <c r="L166" s="3">
        <f t="shared" si="2"/>
        <v>0</v>
      </c>
      <c r="N166" t="s">
        <v>636</v>
      </c>
      <c r="O166" t="s">
        <v>634</v>
      </c>
      <c r="P166">
        <v>0.64500000000000002</v>
      </c>
    </row>
    <row r="167" spans="1:16" x14ac:dyDescent="0.35">
      <c r="A167" s="5" t="str">
        <f>HYPERLINK("https://tienda.tarracoimportexport.com/index.php?id_product=10511&amp;controller=product&amp;id_lang=4", "TR011489")</f>
        <v>TR011489</v>
      </c>
      <c r="B167" t="s">
        <v>637</v>
      </c>
      <c r="D167" s="4">
        <v>3234</v>
      </c>
      <c r="E167" t="s">
        <v>638</v>
      </c>
      <c r="F167" t="s">
        <v>16</v>
      </c>
      <c r="G167" t="s">
        <v>39</v>
      </c>
      <c r="H167">
        <v>81</v>
      </c>
      <c r="I167">
        <v>5346</v>
      </c>
      <c r="J167" t="s">
        <v>639</v>
      </c>
      <c r="K167" s="17">
        <v>1.1299999999999999</v>
      </c>
      <c r="L167" s="3">
        <f t="shared" si="2"/>
        <v>0</v>
      </c>
      <c r="N167" t="s">
        <v>640</v>
      </c>
      <c r="O167" t="s">
        <v>641</v>
      </c>
      <c r="P167">
        <v>0.39500000000000002</v>
      </c>
    </row>
    <row r="168" spans="1:16" x14ac:dyDescent="0.35">
      <c r="A168" s="5" t="str">
        <f>HYPERLINK("https://tienda.tarracoimportexport.com/index.php?id_product=10510&amp;controller=product&amp;id_lang=4", "TR011488")</f>
        <v>TR011488</v>
      </c>
      <c r="B168" t="s">
        <v>642</v>
      </c>
      <c r="D168" s="4">
        <v>5190</v>
      </c>
      <c r="E168" t="s">
        <v>643</v>
      </c>
      <c r="F168" t="s">
        <v>16</v>
      </c>
      <c r="G168" t="s">
        <v>39</v>
      </c>
      <c r="H168">
        <v>81</v>
      </c>
      <c r="I168">
        <v>5346</v>
      </c>
      <c r="J168" t="s">
        <v>639</v>
      </c>
      <c r="K168" s="17">
        <v>1.1299999999999999</v>
      </c>
      <c r="L168" s="3">
        <f t="shared" si="2"/>
        <v>0</v>
      </c>
      <c r="N168" t="s">
        <v>644</v>
      </c>
      <c r="O168" t="s">
        <v>645</v>
      </c>
      <c r="P168">
        <v>0.5</v>
      </c>
    </row>
    <row r="169" spans="1:16" x14ac:dyDescent="0.35">
      <c r="A169" s="5" t="str">
        <f>HYPERLINK("https://tienda.tarracoimportexport.com/index.php?id_product=9285&amp;controller=product&amp;id_lang=4", "TR010358")</f>
        <v>TR010358</v>
      </c>
      <c r="B169" t="s">
        <v>646</v>
      </c>
      <c r="D169" s="4">
        <v>8628</v>
      </c>
      <c r="E169" t="s">
        <v>647</v>
      </c>
      <c r="F169" t="s">
        <v>16</v>
      </c>
      <c r="G169" t="s">
        <v>39</v>
      </c>
      <c r="H169">
        <v>81</v>
      </c>
      <c r="I169">
        <v>5346</v>
      </c>
      <c r="J169" t="s">
        <v>639</v>
      </c>
      <c r="K169" s="17">
        <v>1.1299999999999999</v>
      </c>
      <c r="L169" s="3">
        <f t="shared" si="2"/>
        <v>0</v>
      </c>
      <c r="N169" t="s">
        <v>648</v>
      </c>
      <c r="O169" t="s">
        <v>649</v>
      </c>
      <c r="P169">
        <v>0.47</v>
      </c>
    </row>
    <row r="170" spans="1:16" x14ac:dyDescent="0.35">
      <c r="A170" s="5" t="str">
        <f>HYPERLINK("https://tienda.tarracoimportexport.com/index.php?id_product=9284&amp;controller=product&amp;id_lang=4", "TR010357")</f>
        <v>TR010357</v>
      </c>
      <c r="B170" t="s">
        <v>650</v>
      </c>
      <c r="D170" s="4">
        <v>16392</v>
      </c>
      <c r="E170" t="s">
        <v>651</v>
      </c>
      <c r="F170" t="s">
        <v>16</v>
      </c>
      <c r="G170" t="s">
        <v>39</v>
      </c>
      <c r="H170">
        <v>81</v>
      </c>
      <c r="I170">
        <v>5346</v>
      </c>
      <c r="J170" t="s">
        <v>639</v>
      </c>
      <c r="K170" s="17">
        <v>1.1299999999999999</v>
      </c>
      <c r="L170" s="3">
        <f t="shared" si="2"/>
        <v>0</v>
      </c>
      <c r="N170" t="s">
        <v>652</v>
      </c>
      <c r="O170" t="s">
        <v>653</v>
      </c>
      <c r="P170">
        <v>0.47</v>
      </c>
    </row>
    <row r="171" spans="1:16" x14ac:dyDescent="0.35">
      <c r="A171" s="5" t="str">
        <f>HYPERLINK("https://tienda.tarracoimportexport.com/index.php?id_product=9323&amp;controller=product&amp;id_lang=4", "TR010396")</f>
        <v>TR010396</v>
      </c>
      <c r="B171" t="s">
        <v>654</v>
      </c>
      <c r="D171" s="4">
        <v>5592</v>
      </c>
      <c r="E171" t="s">
        <v>655</v>
      </c>
      <c r="F171" t="s">
        <v>16</v>
      </c>
      <c r="G171" t="s">
        <v>39</v>
      </c>
      <c r="H171">
        <v>81</v>
      </c>
      <c r="I171">
        <v>5346</v>
      </c>
      <c r="J171" t="s">
        <v>639</v>
      </c>
      <c r="K171" s="17">
        <v>1.1299999999999999</v>
      </c>
      <c r="L171" s="3">
        <f t="shared" si="2"/>
        <v>0</v>
      </c>
      <c r="N171" t="s">
        <v>656</v>
      </c>
      <c r="O171" t="s">
        <v>657</v>
      </c>
      <c r="P171">
        <v>0.47</v>
      </c>
    </row>
    <row r="172" spans="1:16" x14ac:dyDescent="0.35">
      <c r="A172" s="5" t="str">
        <f>HYPERLINK("https://tienda.tarracoimportexport.com/index.php?id_product=10509&amp;controller=product&amp;id_lang=4", "TR011487")</f>
        <v>TR011487</v>
      </c>
      <c r="B172" t="s">
        <v>658</v>
      </c>
      <c r="D172" s="4">
        <v>1854</v>
      </c>
      <c r="E172" t="s">
        <v>659</v>
      </c>
      <c r="F172" t="s">
        <v>16</v>
      </c>
      <c r="G172" t="s">
        <v>39</v>
      </c>
      <c r="H172">
        <v>81</v>
      </c>
      <c r="I172">
        <v>5346</v>
      </c>
      <c r="J172" t="s">
        <v>639</v>
      </c>
      <c r="K172" s="17">
        <v>1.1299999999999999</v>
      </c>
      <c r="L172" s="3">
        <f t="shared" si="2"/>
        <v>0</v>
      </c>
      <c r="N172" t="s">
        <v>660</v>
      </c>
      <c r="O172" t="s">
        <v>661</v>
      </c>
      <c r="P172">
        <v>0.495</v>
      </c>
    </row>
    <row r="173" spans="1:16" x14ac:dyDescent="0.35">
      <c r="A173" s="5" t="str">
        <f>HYPERLINK("https://tienda.tarracoimportexport.com/index.php?id_product=10512&amp;controller=product&amp;id_lang=4", "TR011490")</f>
        <v>TR011490</v>
      </c>
      <c r="B173" t="s">
        <v>662</v>
      </c>
      <c r="D173" s="4">
        <v>984</v>
      </c>
      <c r="E173" t="s">
        <v>663</v>
      </c>
      <c r="F173" t="s">
        <v>16</v>
      </c>
      <c r="G173" t="s">
        <v>39</v>
      </c>
      <c r="H173">
        <v>81</v>
      </c>
      <c r="I173">
        <v>5346</v>
      </c>
      <c r="J173" t="s">
        <v>639</v>
      </c>
      <c r="K173" s="17">
        <v>1.1299999999999999</v>
      </c>
      <c r="L173" s="3">
        <f t="shared" si="2"/>
        <v>0</v>
      </c>
      <c r="N173" t="s">
        <v>664</v>
      </c>
      <c r="O173" t="s">
        <v>665</v>
      </c>
      <c r="P173">
        <v>0.42</v>
      </c>
    </row>
    <row r="174" spans="1:16" x14ac:dyDescent="0.35">
      <c r="A174" s="5" t="str">
        <f>HYPERLINK("https://tienda.tarracoimportexport.com/index.php?id_product=8419&amp;controller=product&amp;id_lang=4", "TR009560")</f>
        <v>TR009560</v>
      </c>
      <c r="B174" t="s">
        <v>666</v>
      </c>
      <c r="D174" s="4">
        <v>34632</v>
      </c>
      <c r="E174" t="s">
        <v>667</v>
      </c>
      <c r="F174" t="s">
        <v>16</v>
      </c>
      <c r="G174" t="s">
        <v>39</v>
      </c>
      <c r="H174">
        <v>81</v>
      </c>
      <c r="I174">
        <v>5346</v>
      </c>
      <c r="J174" t="s">
        <v>639</v>
      </c>
      <c r="K174" s="17">
        <v>0.86</v>
      </c>
      <c r="L174" s="3">
        <f t="shared" si="2"/>
        <v>0</v>
      </c>
      <c r="N174" t="s">
        <v>668</v>
      </c>
      <c r="O174" t="s">
        <v>669</v>
      </c>
      <c r="P174">
        <v>0.46500000000000002</v>
      </c>
    </row>
    <row r="175" spans="1:16" x14ac:dyDescent="0.35">
      <c r="A175" s="5" t="str">
        <f>HYPERLINK("https://tienda.tarracoimportexport.com/index.php?id_product=8420&amp;controller=product&amp;id_lang=4", "TR009561")</f>
        <v>TR009561</v>
      </c>
      <c r="B175" t="s">
        <v>670</v>
      </c>
      <c r="D175" s="4">
        <v>10914</v>
      </c>
      <c r="E175" t="s">
        <v>671</v>
      </c>
      <c r="F175" t="s">
        <v>16</v>
      </c>
      <c r="G175" t="s">
        <v>39</v>
      </c>
      <c r="H175">
        <v>81</v>
      </c>
      <c r="I175">
        <v>5346</v>
      </c>
      <c r="J175" t="s">
        <v>639</v>
      </c>
      <c r="K175" s="17">
        <v>0.86</v>
      </c>
      <c r="L175" s="3">
        <f t="shared" si="2"/>
        <v>0</v>
      </c>
      <c r="N175" t="s">
        <v>672</v>
      </c>
      <c r="O175" t="s">
        <v>673</v>
      </c>
      <c r="P175">
        <v>0.46</v>
      </c>
    </row>
    <row r="176" spans="1:16" x14ac:dyDescent="0.35">
      <c r="A176" s="5" t="str">
        <f>HYPERLINK("https://tienda.tarracoimportexport.com/index.php?id_product=8443&amp;controller=product&amp;id_lang=4", "TR009585")</f>
        <v>TR009585</v>
      </c>
      <c r="B176" t="s">
        <v>674</v>
      </c>
      <c r="D176" s="4">
        <v>2754</v>
      </c>
      <c r="E176" t="s">
        <v>675</v>
      </c>
      <c r="F176" t="s">
        <v>16</v>
      </c>
      <c r="G176" t="s">
        <v>39</v>
      </c>
      <c r="H176">
        <v>81</v>
      </c>
      <c r="I176">
        <v>5346</v>
      </c>
      <c r="J176" t="s">
        <v>639</v>
      </c>
      <c r="K176" s="17">
        <v>0.9</v>
      </c>
      <c r="L176" s="3">
        <f t="shared" si="2"/>
        <v>0</v>
      </c>
      <c r="N176" t="s">
        <v>676</v>
      </c>
      <c r="O176" t="s">
        <v>677</v>
      </c>
      <c r="P176">
        <v>0.46</v>
      </c>
    </row>
    <row r="177" spans="1:16" x14ac:dyDescent="0.35">
      <c r="A177" s="5" t="str">
        <f>HYPERLINK("https://tienda.tarracoimportexport.com/index.php?id_product=10091&amp;controller=product&amp;id_lang=4", "TR011130")</f>
        <v>TR011130</v>
      </c>
      <c r="B177" t="s">
        <v>678</v>
      </c>
      <c r="D177" s="4">
        <v>16788</v>
      </c>
      <c r="E177" t="s">
        <v>679</v>
      </c>
      <c r="F177" t="s">
        <v>16</v>
      </c>
      <c r="G177" t="s">
        <v>39</v>
      </c>
      <c r="H177">
        <v>81</v>
      </c>
      <c r="I177">
        <v>5346</v>
      </c>
      <c r="J177" t="s">
        <v>639</v>
      </c>
      <c r="K177" s="17">
        <v>0.86</v>
      </c>
      <c r="L177" s="3">
        <f t="shared" si="2"/>
        <v>0</v>
      </c>
      <c r="N177" t="s">
        <v>680</v>
      </c>
      <c r="O177" t="s">
        <v>681</v>
      </c>
      <c r="P177">
        <v>0.46</v>
      </c>
    </row>
    <row r="178" spans="1:16" x14ac:dyDescent="0.35">
      <c r="A178" s="5" t="str">
        <f>HYPERLINK("https://tienda.tarracoimportexport.com/index.php?id_product=8421&amp;controller=product&amp;id_lang=4", "TR009562")</f>
        <v>TR009562</v>
      </c>
      <c r="B178" t="s">
        <v>678</v>
      </c>
      <c r="D178" s="4">
        <v>1686</v>
      </c>
      <c r="E178" t="s">
        <v>679</v>
      </c>
      <c r="F178" t="s">
        <v>16</v>
      </c>
      <c r="G178" t="s">
        <v>39</v>
      </c>
      <c r="H178">
        <v>81</v>
      </c>
      <c r="I178">
        <v>5346</v>
      </c>
      <c r="J178" t="s">
        <v>639</v>
      </c>
      <c r="K178" s="17">
        <v>0.86</v>
      </c>
      <c r="L178" s="3">
        <f t="shared" si="2"/>
        <v>0</v>
      </c>
      <c r="N178" t="s">
        <v>682</v>
      </c>
      <c r="O178" t="s">
        <v>683</v>
      </c>
      <c r="P178">
        <v>0.46500000000000002</v>
      </c>
    </row>
    <row r="179" spans="1:16" x14ac:dyDescent="0.35">
      <c r="A179" s="5" t="str">
        <f>HYPERLINK("https://tienda.tarracoimportexport.com/index.php?id_product=1448&amp;controller=product&amp;id_lang=4", "TR003146")</f>
        <v>TR003146</v>
      </c>
      <c r="B179" t="s">
        <v>684</v>
      </c>
      <c r="D179" s="4">
        <v>2964</v>
      </c>
      <c r="E179" t="s">
        <v>685</v>
      </c>
      <c r="F179" t="s">
        <v>16</v>
      </c>
      <c r="G179" t="s">
        <v>39</v>
      </c>
      <c r="H179">
        <v>80</v>
      </c>
      <c r="I179">
        <v>3360</v>
      </c>
      <c r="J179" t="s">
        <v>686</v>
      </c>
      <c r="K179" s="17">
        <v>1.4</v>
      </c>
      <c r="L179" s="3">
        <f t="shared" si="2"/>
        <v>0</v>
      </c>
      <c r="N179" t="s">
        <v>687</v>
      </c>
      <c r="O179" t="s">
        <v>688</v>
      </c>
      <c r="P179">
        <v>0.48</v>
      </c>
    </row>
    <row r="180" spans="1:16" x14ac:dyDescent="0.35">
      <c r="A180" s="5" t="str">
        <f>HYPERLINK("https://tienda.tarracoimportexport.com/index.php?id_product=10656&amp;controller=product&amp;id_lang=4", "TR011631")</f>
        <v>TR011631</v>
      </c>
      <c r="B180" t="s">
        <v>689</v>
      </c>
      <c r="D180" s="4">
        <v>8940</v>
      </c>
      <c r="E180" t="s">
        <v>690</v>
      </c>
      <c r="F180" t="s">
        <v>16</v>
      </c>
      <c r="G180" t="s">
        <v>39</v>
      </c>
      <c r="H180">
        <v>80</v>
      </c>
      <c r="I180">
        <v>3360</v>
      </c>
      <c r="J180" t="s">
        <v>686</v>
      </c>
      <c r="K180" s="17">
        <v>1.4</v>
      </c>
      <c r="L180" s="3">
        <f t="shared" si="2"/>
        <v>0</v>
      </c>
      <c r="N180" t="s">
        <v>691</v>
      </c>
      <c r="O180" t="s">
        <v>692</v>
      </c>
      <c r="P180">
        <v>0.51</v>
      </c>
    </row>
    <row r="181" spans="1:16" x14ac:dyDescent="0.35">
      <c r="A181" s="5" t="str">
        <f>HYPERLINK("https://tienda.tarracoimportexport.com/index.php?id_product=9607&amp;controller=product&amp;id_lang=4", "TR010661")</f>
        <v>TR010661</v>
      </c>
      <c r="B181" t="s">
        <v>693</v>
      </c>
      <c r="D181" s="4">
        <v>8244</v>
      </c>
      <c r="E181" t="s">
        <v>694</v>
      </c>
      <c r="F181" t="s">
        <v>16</v>
      </c>
      <c r="G181" t="s">
        <v>39</v>
      </c>
      <c r="H181">
        <v>80</v>
      </c>
      <c r="I181">
        <v>3360</v>
      </c>
      <c r="J181" t="s">
        <v>686</v>
      </c>
      <c r="K181" s="17">
        <v>1.4</v>
      </c>
      <c r="L181" s="3">
        <f t="shared" si="2"/>
        <v>0</v>
      </c>
      <c r="N181" t="s">
        <v>695</v>
      </c>
      <c r="O181" t="s">
        <v>696</v>
      </c>
      <c r="P181">
        <v>0.51</v>
      </c>
    </row>
    <row r="182" spans="1:16" x14ac:dyDescent="0.35">
      <c r="A182" s="5" t="str">
        <f>HYPERLINK("https://tienda.tarracoimportexport.com/index.php?id_product=2622&amp;controller=product&amp;id_lang=4", "TR004090")</f>
        <v>TR004090</v>
      </c>
      <c r="B182" t="s">
        <v>697</v>
      </c>
      <c r="D182" s="4">
        <v>1344</v>
      </c>
      <c r="E182" t="s">
        <v>698</v>
      </c>
      <c r="F182" t="s">
        <v>16</v>
      </c>
      <c r="G182" t="s">
        <v>39</v>
      </c>
      <c r="H182">
        <v>80</v>
      </c>
      <c r="I182">
        <v>3360</v>
      </c>
      <c r="J182" t="s">
        <v>686</v>
      </c>
      <c r="K182" s="17">
        <v>1.4</v>
      </c>
      <c r="L182" s="3">
        <f t="shared" si="2"/>
        <v>0</v>
      </c>
      <c r="N182" t="s">
        <v>699</v>
      </c>
      <c r="O182" t="s">
        <v>700</v>
      </c>
      <c r="P182">
        <v>0.63</v>
      </c>
    </row>
    <row r="183" spans="1:16" x14ac:dyDescent="0.35">
      <c r="A183" s="5" t="str">
        <f>HYPERLINK("https://tienda.tarracoimportexport.com/index.php?id_product=10657&amp;controller=product&amp;id_lang=4", "TR011632")</f>
        <v>TR011632</v>
      </c>
      <c r="B183" t="s">
        <v>701</v>
      </c>
      <c r="D183" s="4">
        <v>5508</v>
      </c>
      <c r="E183" t="s">
        <v>702</v>
      </c>
      <c r="F183" t="s">
        <v>16</v>
      </c>
      <c r="G183" t="s">
        <v>39</v>
      </c>
      <c r="H183">
        <v>80</v>
      </c>
      <c r="I183">
        <v>3360</v>
      </c>
      <c r="J183" t="s">
        <v>686</v>
      </c>
      <c r="K183" s="17">
        <v>1.4</v>
      </c>
      <c r="L183" s="3">
        <f t="shared" si="2"/>
        <v>0</v>
      </c>
      <c r="N183" t="s">
        <v>703</v>
      </c>
      <c r="O183" t="s">
        <v>704</v>
      </c>
      <c r="P183">
        <v>0.51</v>
      </c>
    </row>
    <row r="184" spans="1:16" x14ac:dyDescent="0.35">
      <c r="A184" s="5" t="str">
        <f>HYPERLINK("https://tienda.tarracoimportexport.com/index.php?id_product=10638&amp;controller=product&amp;id_lang=4", "TR011613")</f>
        <v>TR011613</v>
      </c>
      <c r="B184" t="s">
        <v>705</v>
      </c>
      <c r="D184" s="4">
        <v>20</v>
      </c>
      <c r="E184" t="s">
        <v>706</v>
      </c>
      <c r="F184" t="s">
        <v>707</v>
      </c>
      <c r="G184" t="s">
        <v>27</v>
      </c>
      <c r="H184">
        <v>75</v>
      </c>
      <c r="I184">
        <v>10500</v>
      </c>
      <c r="J184" t="s">
        <v>708</v>
      </c>
      <c r="K184" s="17">
        <v>1.71</v>
      </c>
      <c r="L184" s="3">
        <f t="shared" ref="L184:L235" si="3">K184*C184</f>
        <v>0</v>
      </c>
      <c r="N184" t="s">
        <v>709</v>
      </c>
      <c r="O184" t="s">
        <v>710</v>
      </c>
      <c r="P184">
        <v>0.55000000000000004</v>
      </c>
    </row>
    <row r="185" spans="1:16" x14ac:dyDescent="0.35">
      <c r="A185" s="5" t="str">
        <f>HYPERLINK("https://tienda.tarracoimportexport.com/index.php?id_product=9317&amp;controller=product&amp;id_lang=4", "TR010390")</f>
        <v>TR010390</v>
      </c>
      <c r="B185" t="s">
        <v>711</v>
      </c>
      <c r="D185" s="4">
        <v>47160</v>
      </c>
      <c r="E185" t="s">
        <v>712</v>
      </c>
      <c r="F185" t="s">
        <v>16</v>
      </c>
      <c r="G185" t="s">
        <v>50</v>
      </c>
      <c r="H185">
        <v>19</v>
      </c>
      <c r="I185">
        <v>1368</v>
      </c>
      <c r="J185" t="s">
        <v>352</v>
      </c>
      <c r="K185" s="17">
        <v>1.32</v>
      </c>
      <c r="L185" s="3">
        <f t="shared" si="3"/>
        <v>0</v>
      </c>
      <c r="N185" t="s">
        <v>713</v>
      </c>
      <c r="O185" t="s">
        <v>354</v>
      </c>
      <c r="P185">
        <v>6.875</v>
      </c>
    </row>
    <row r="186" spans="1:16" x14ac:dyDescent="0.35">
      <c r="A186" s="5" t="str">
        <f>HYPERLINK("https://tienda.tarracoimportexport.com/index.php?id_product=10811&amp;controller=product&amp;id_lang=4", "TR011759")</f>
        <v>TR011759</v>
      </c>
      <c r="B186" t="s">
        <v>714</v>
      </c>
      <c r="D186" s="4">
        <v>619</v>
      </c>
      <c r="E186" t="s">
        <v>715</v>
      </c>
      <c r="F186" t="s">
        <v>16</v>
      </c>
      <c r="G186" t="s">
        <v>526</v>
      </c>
      <c r="H186">
        <v>27</v>
      </c>
      <c r="I186">
        <v>135</v>
      </c>
      <c r="J186" t="s">
        <v>527</v>
      </c>
      <c r="K186" s="17">
        <v>6.89</v>
      </c>
      <c r="L186" s="3">
        <f t="shared" si="3"/>
        <v>0</v>
      </c>
      <c r="N186" t="s">
        <v>715</v>
      </c>
      <c r="O186" t="s">
        <v>30</v>
      </c>
      <c r="P186">
        <v>6.3449999999999998</v>
      </c>
    </row>
    <row r="187" spans="1:16" x14ac:dyDescent="0.35">
      <c r="A187" s="5" t="str">
        <f>HYPERLINK("https://tienda.tarracoimportexport.com/index.php?id_product=10860&amp;controller=product&amp;id_lang=4", "TR011806")</f>
        <v>TR011806</v>
      </c>
      <c r="B187" t="s">
        <v>716</v>
      </c>
      <c r="D187" s="4">
        <v>4476</v>
      </c>
      <c r="E187" t="s">
        <v>717</v>
      </c>
      <c r="F187" t="s">
        <v>718</v>
      </c>
      <c r="G187" t="s">
        <v>50</v>
      </c>
      <c r="H187">
        <v>19</v>
      </c>
      <c r="I187">
        <v>912</v>
      </c>
      <c r="J187" t="s">
        <v>213</v>
      </c>
      <c r="K187" s="17">
        <v>3.77</v>
      </c>
      <c r="L187" s="3">
        <f t="shared" si="3"/>
        <v>0</v>
      </c>
      <c r="N187" t="s">
        <v>719</v>
      </c>
      <c r="O187" t="s">
        <v>42</v>
      </c>
      <c r="P187">
        <v>5.56</v>
      </c>
    </row>
    <row r="188" spans="1:16" x14ac:dyDescent="0.35">
      <c r="A188" s="5" t="str">
        <f>HYPERLINK("https://tienda.tarracoimportexport.com/index.php?id_product=347&amp;controller=product&amp;id_lang=4", "TR001446")</f>
        <v>TR001446</v>
      </c>
      <c r="B188" t="s">
        <v>720</v>
      </c>
      <c r="D188" s="4">
        <v>3072</v>
      </c>
      <c r="E188" t="s">
        <v>721</v>
      </c>
      <c r="F188" t="s">
        <v>16</v>
      </c>
      <c r="G188" t="s">
        <v>290</v>
      </c>
      <c r="H188">
        <v>12</v>
      </c>
      <c r="I188">
        <v>1344</v>
      </c>
      <c r="J188" t="s">
        <v>90</v>
      </c>
      <c r="K188" s="17">
        <v>1.08</v>
      </c>
      <c r="L188" s="3">
        <f t="shared" si="3"/>
        <v>0</v>
      </c>
      <c r="N188" t="s">
        <v>722</v>
      </c>
      <c r="O188" t="s">
        <v>723</v>
      </c>
      <c r="P188">
        <v>0.98</v>
      </c>
    </row>
    <row r="189" spans="1:16" x14ac:dyDescent="0.35">
      <c r="A189" s="5" t="str">
        <f>HYPERLINK("https://tienda.tarracoimportexport.com/index.php?id_product=5223&amp;controller=product&amp;id_lang=4", "TR006500")</f>
        <v>TR006500</v>
      </c>
      <c r="B189" t="s">
        <v>724</v>
      </c>
      <c r="D189" s="4">
        <v>9180</v>
      </c>
      <c r="E189" t="s">
        <v>725</v>
      </c>
      <c r="F189" t="s">
        <v>16</v>
      </c>
      <c r="G189" t="s">
        <v>180</v>
      </c>
      <c r="H189">
        <v>10</v>
      </c>
      <c r="I189">
        <v>900</v>
      </c>
      <c r="J189" t="s">
        <v>516</v>
      </c>
      <c r="K189" s="17">
        <v>1.18</v>
      </c>
      <c r="L189" s="3">
        <f t="shared" si="3"/>
        <v>0</v>
      </c>
      <c r="N189" t="s">
        <v>726</v>
      </c>
      <c r="O189" t="s">
        <v>42</v>
      </c>
      <c r="P189">
        <v>1.365</v>
      </c>
    </row>
    <row r="190" spans="1:16" x14ac:dyDescent="0.35">
      <c r="A190" s="5" t="str">
        <f>HYPERLINK("https://tienda.tarracoimportexport.com/index.php?id_product=10920&amp;controller=product&amp;id_lang=4", "TR011866")</f>
        <v>TR011866</v>
      </c>
      <c r="B190" t="s">
        <v>727</v>
      </c>
      <c r="D190" s="4">
        <v>4878</v>
      </c>
      <c r="E190" t="s">
        <v>728</v>
      </c>
      <c r="F190" t="s">
        <v>16</v>
      </c>
      <c r="G190" t="s">
        <v>39</v>
      </c>
      <c r="H190">
        <v>68</v>
      </c>
      <c r="I190">
        <v>2856</v>
      </c>
      <c r="J190" t="s">
        <v>729</v>
      </c>
      <c r="K190" s="17">
        <v>0.7</v>
      </c>
      <c r="L190" s="3">
        <f t="shared" si="3"/>
        <v>0</v>
      </c>
      <c r="N190" t="s">
        <v>730</v>
      </c>
      <c r="O190" t="s">
        <v>731</v>
      </c>
      <c r="P190">
        <v>0.97</v>
      </c>
    </row>
    <row r="191" spans="1:16" x14ac:dyDescent="0.35">
      <c r="A191" s="5" t="str">
        <f>HYPERLINK("https://tienda.tarracoimportexport.com/index.php?id_product=9787&amp;controller=product&amp;id_lang=4", "TR010835")</f>
        <v>TR010835</v>
      </c>
      <c r="B191" t="s">
        <v>732</v>
      </c>
      <c r="D191" s="4">
        <v>6174</v>
      </c>
      <c r="E191" t="s">
        <v>733</v>
      </c>
      <c r="F191" t="s">
        <v>16</v>
      </c>
      <c r="G191" t="s">
        <v>39</v>
      </c>
      <c r="H191">
        <v>68</v>
      </c>
      <c r="I191">
        <v>2856</v>
      </c>
      <c r="J191" t="s">
        <v>729</v>
      </c>
      <c r="K191" s="17">
        <v>0.7</v>
      </c>
      <c r="L191" s="3">
        <f t="shared" si="3"/>
        <v>0</v>
      </c>
      <c r="N191" t="s">
        <v>734</v>
      </c>
      <c r="O191" t="s">
        <v>30</v>
      </c>
      <c r="P191">
        <v>0.98</v>
      </c>
    </row>
    <row r="192" spans="1:16" x14ac:dyDescent="0.35">
      <c r="A192" s="5" t="str">
        <f>HYPERLINK("https://tienda.tarracoimportexport.com/index.php?id_product=178&amp;controller=product&amp;id_lang=4", "TR002206")</f>
        <v>TR002206</v>
      </c>
      <c r="B192" t="s">
        <v>735</v>
      </c>
      <c r="D192" s="4">
        <v>6018</v>
      </c>
      <c r="E192" t="s">
        <v>736</v>
      </c>
      <c r="F192" t="s">
        <v>16</v>
      </c>
      <c r="G192" t="s">
        <v>39</v>
      </c>
      <c r="H192">
        <v>68</v>
      </c>
      <c r="I192">
        <v>2856</v>
      </c>
      <c r="J192" t="s">
        <v>729</v>
      </c>
      <c r="K192" s="17">
        <v>0.7</v>
      </c>
      <c r="L192" s="3">
        <f t="shared" si="3"/>
        <v>0</v>
      </c>
      <c r="N192" t="s">
        <v>737</v>
      </c>
      <c r="O192" t="s">
        <v>30</v>
      </c>
      <c r="P192">
        <v>0.97</v>
      </c>
    </row>
    <row r="193" spans="1:16" x14ac:dyDescent="0.35">
      <c r="A193" s="5" t="str">
        <f>HYPERLINK("https://tienda.tarracoimportexport.com/index.php?id_product=3500&amp;controller=product&amp;id_lang=4", "TR004945")</f>
        <v>TR004945</v>
      </c>
      <c r="B193" t="s">
        <v>738</v>
      </c>
      <c r="D193" s="4">
        <v>5520</v>
      </c>
      <c r="E193" t="s">
        <v>739</v>
      </c>
      <c r="F193" t="s">
        <v>16</v>
      </c>
      <c r="G193" t="s">
        <v>39</v>
      </c>
      <c r="H193">
        <v>68</v>
      </c>
      <c r="I193">
        <v>2856</v>
      </c>
      <c r="J193" t="s">
        <v>729</v>
      </c>
      <c r="K193" s="17">
        <v>0.7</v>
      </c>
      <c r="L193" s="3">
        <f t="shared" si="3"/>
        <v>0</v>
      </c>
      <c r="N193" t="s">
        <v>740</v>
      </c>
      <c r="O193" t="s">
        <v>30</v>
      </c>
      <c r="P193">
        <v>0.99</v>
      </c>
    </row>
    <row r="194" spans="1:16" x14ac:dyDescent="0.35">
      <c r="A194" s="5" t="str">
        <f>HYPERLINK("https://tienda.tarracoimportexport.com/index.php?id_product=8098&amp;controller=product&amp;id_lang=4", "TR009256")</f>
        <v>TR009256</v>
      </c>
      <c r="B194" t="s">
        <v>741</v>
      </c>
      <c r="D194" s="4">
        <v>2778</v>
      </c>
      <c r="E194" t="s">
        <v>742</v>
      </c>
      <c r="F194" t="s">
        <v>16</v>
      </c>
      <c r="G194" t="s">
        <v>39</v>
      </c>
      <c r="H194">
        <v>60</v>
      </c>
      <c r="I194">
        <v>1800</v>
      </c>
      <c r="J194" t="s">
        <v>743</v>
      </c>
      <c r="K194" s="17">
        <v>1.17</v>
      </c>
      <c r="L194" s="3">
        <f t="shared" si="3"/>
        <v>0</v>
      </c>
      <c r="N194" t="s">
        <v>744</v>
      </c>
      <c r="O194" t="s">
        <v>745</v>
      </c>
      <c r="P194">
        <v>0.79</v>
      </c>
    </row>
    <row r="195" spans="1:16" x14ac:dyDescent="0.35">
      <c r="A195" s="5" t="str">
        <f>HYPERLINK("https://tienda.tarracoimportexport.com/index.php?id_product=8099&amp;controller=product&amp;id_lang=4", "TR009257")</f>
        <v>TR009257</v>
      </c>
      <c r="B195" t="s">
        <v>746</v>
      </c>
      <c r="D195" s="4">
        <v>3444</v>
      </c>
      <c r="E195" t="s">
        <v>747</v>
      </c>
      <c r="F195" t="s">
        <v>16</v>
      </c>
      <c r="G195" t="s">
        <v>39</v>
      </c>
      <c r="H195">
        <v>60</v>
      </c>
      <c r="I195">
        <v>1800</v>
      </c>
      <c r="J195" t="s">
        <v>743</v>
      </c>
      <c r="K195" s="17">
        <v>1.17</v>
      </c>
      <c r="L195" s="3">
        <f t="shared" si="3"/>
        <v>0</v>
      </c>
      <c r="N195" t="s">
        <v>748</v>
      </c>
      <c r="O195" t="s">
        <v>749</v>
      </c>
      <c r="P195">
        <v>0.79</v>
      </c>
    </row>
    <row r="196" spans="1:16" x14ac:dyDescent="0.35">
      <c r="A196" s="5" t="str">
        <f>HYPERLINK("https://tienda.tarracoimportexport.com/index.php?id_product=8579&amp;controller=product&amp;id_lang=4", "TR009717")</f>
        <v>TR009717</v>
      </c>
      <c r="B196" t="s">
        <v>746</v>
      </c>
      <c r="D196" s="4">
        <v>414</v>
      </c>
      <c r="E196" t="s">
        <v>747</v>
      </c>
      <c r="F196" t="s">
        <v>16</v>
      </c>
      <c r="G196" t="s">
        <v>39</v>
      </c>
      <c r="H196">
        <v>60</v>
      </c>
      <c r="I196">
        <v>1800</v>
      </c>
      <c r="J196" t="s">
        <v>743</v>
      </c>
      <c r="K196" s="17">
        <v>1.17</v>
      </c>
      <c r="L196" s="3">
        <f t="shared" si="3"/>
        <v>0</v>
      </c>
      <c r="N196" t="s">
        <v>750</v>
      </c>
      <c r="O196" t="s">
        <v>751</v>
      </c>
      <c r="P196">
        <v>0.79</v>
      </c>
    </row>
    <row r="197" spans="1:16" x14ac:dyDescent="0.35">
      <c r="A197" s="5" t="str">
        <f>HYPERLINK("https://tienda.tarracoimportexport.com/index.php?id_product=8100&amp;controller=product&amp;id_lang=4", "TR009258")</f>
        <v>TR009258</v>
      </c>
      <c r="B197" t="s">
        <v>752</v>
      </c>
      <c r="D197" s="4">
        <v>21654</v>
      </c>
      <c r="E197" t="s">
        <v>753</v>
      </c>
      <c r="F197" t="s">
        <v>16</v>
      </c>
      <c r="G197" t="s">
        <v>39</v>
      </c>
      <c r="H197">
        <v>60</v>
      </c>
      <c r="I197">
        <v>1800</v>
      </c>
      <c r="J197" t="s">
        <v>743</v>
      </c>
      <c r="K197" s="17">
        <v>1.05</v>
      </c>
      <c r="L197" s="3">
        <f t="shared" si="3"/>
        <v>0</v>
      </c>
      <c r="N197" t="s">
        <v>754</v>
      </c>
      <c r="O197" t="s">
        <v>30</v>
      </c>
      <c r="P197">
        <v>0.79</v>
      </c>
    </row>
    <row r="198" spans="1:16" x14ac:dyDescent="0.35">
      <c r="A198" s="5" t="str">
        <f>HYPERLINK("https://tienda.tarracoimportexport.com/index.php?id_product=10698&amp;controller=product&amp;id_lang=4", "TR011671")</f>
        <v>TR011671</v>
      </c>
      <c r="B198" t="s">
        <v>755</v>
      </c>
      <c r="D198" s="4">
        <v>23793</v>
      </c>
      <c r="E198" t="s">
        <v>756</v>
      </c>
      <c r="F198" t="s">
        <v>757</v>
      </c>
      <c r="G198" t="s">
        <v>191</v>
      </c>
      <c r="H198">
        <v>8</v>
      </c>
      <c r="I198">
        <v>1344</v>
      </c>
      <c r="J198" t="s">
        <v>388</v>
      </c>
      <c r="K198" s="17">
        <v>0.99</v>
      </c>
      <c r="L198" s="3">
        <f t="shared" si="3"/>
        <v>0</v>
      </c>
      <c r="N198" t="s">
        <v>758</v>
      </c>
      <c r="O198" t="s">
        <v>759</v>
      </c>
      <c r="P198">
        <v>10.69</v>
      </c>
    </row>
    <row r="199" spans="1:16" x14ac:dyDescent="0.35">
      <c r="A199" s="5" t="str">
        <f>HYPERLINK("https://tienda.tarracoimportexport.com/index.php?id_product=10646&amp;controller=product&amp;id_lang=4", "TR011621")</f>
        <v>TR011621</v>
      </c>
      <c r="B199" t="s">
        <v>760</v>
      </c>
      <c r="D199" s="4">
        <v>12396</v>
      </c>
      <c r="E199" t="s">
        <v>761</v>
      </c>
      <c r="F199" t="s">
        <v>16</v>
      </c>
      <c r="G199" t="s">
        <v>242</v>
      </c>
      <c r="H199">
        <v>25</v>
      </c>
      <c r="I199">
        <v>700</v>
      </c>
      <c r="J199" t="s">
        <v>499</v>
      </c>
      <c r="K199" s="17">
        <v>2.7</v>
      </c>
      <c r="L199" s="3">
        <f t="shared" si="3"/>
        <v>0</v>
      </c>
      <c r="N199" t="s">
        <v>762</v>
      </c>
      <c r="O199" t="s">
        <v>763</v>
      </c>
      <c r="P199">
        <v>4.2</v>
      </c>
    </row>
    <row r="200" spans="1:16" x14ac:dyDescent="0.35">
      <c r="A200" s="5" t="str">
        <f>HYPERLINK("https://tienda.tarracoimportexport.com/index.php?id_product=7713&amp;controller=product&amp;id_lang=4", "TR008879")</f>
        <v>TR008879</v>
      </c>
      <c r="B200" t="s">
        <v>764</v>
      </c>
      <c r="D200" s="4">
        <v>1755</v>
      </c>
      <c r="E200" t="s">
        <v>765</v>
      </c>
      <c r="F200" t="s">
        <v>16</v>
      </c>
      <c r="G200" t="s">
        <v>46</v>
      </c>
      <c r="H200">
        <v>24</v>
      </c>
      <c r="I200">
        <v>600</v>
      </c>
      <c r="J200" t="s">
        <v>63</v>
      </c>
      <c r="K200" s="17">
        <v>3.47</v>
      </c>
      <c r="L200" s="3">
        <f t="shared" si="3"/>
        <v>0</v>
      </c>
      <c r="N200" t="s">
        <v>766</v>
      </c>
      <c r="O200" t="s">
        <v>42</v>
      </c>
      <c r="P200">
        <v>6.335</v>
      </c>
    </row>
    <row r="201" spans="1:16" x14ac:dyDescent="0.35">
      <c r="A201" s="5" t="str">
        <f>HYPERLINK("https://tienda.tarracoimportexport.com/index.php?id_product=4020&amp;controller=product&amp;id_lang=4", "TR005366")</f>
        <v>TR005366</v>
      </c>
      <c r="B201" t="s">
        <v>767</v>
      </c>
      <c r="D201" s="4">
        <v>2180</v>
      </c>
      <c r="E201" t="s">
        <v>768</v>
      </c>
      <c r="F201" t="s">
        <v>16</v>
      </c>
      <c r="G201" t="s">
        <v>46</v>
      </c>
      <c r="H201">
        <v>24</v>
      </c>
      <c r="I201">
        <v>600</v>
      </c>
      <c r="J201" t="s">
        <v>63</v>
      </c>
      <c r="K201" s="17">
        <v>3.47</v>
      </c>
      <c r="L201" s="3">
        <f t="shared" si="3"/>
        <v>0</v>
      </c>
      <c r="N201" t="s">
        <v>769</v>
      </c>
      <c r="O201" t="s">
        <v>42</v>
      </c>
      <c r="P201">
        <v>6.43</v>
      </c>
    </row>
    <row r="202" spans="1:16" x14ac:dyDescent="0.35">
      <c r="A202" s="5" t="str">
        <f>HYPERLINK("https://tienda.tarracoimportexport.com/index.php?id_product=4021&amp;controller=product&amp;id_lang=4", "TR005367")</f>
        <v>TR005367</v>
      </c>
      <c r="B202" t="s">
        <v>770</v>
      </c>
      <c r="D202" s="4">
        <v>4265</v>
      </c>
      <c r="E202" t="s">
        <v>771</v>
      </c>
      <c r="F202" t="s">
        <v>16</v>
      </c>
      <c r="G202" t="s">
        <v>46</v>
      </c>
      <c r="H202">
        <v>24</v>
      </c>
      <c r="I202">
        <v>600</v>
      </c>
      <c r="J202" t="s">
        <v>63</v>
      </c>
      <c r="K202" s="17">
        <v>3.47</v>
      </c>
      <c r="L202" s="3">
        <f t="shared" si="3"/>
        <v>0</v>
      </c>
      <c r="N202" t="s">
        <v>772</v>
      </c>
      <c r="O202" t="s">
        <v>42</v>
      </c>
      <c r="P202">
        <v>6.3949999999999996</v>
      </c>
    </row>
    <row r="203" spans="1:16" x14ac:dyDescent="0.35">
      <c r="A203" s="5" t="str">
        <f>HYPERLINK("https://tienda.tarracoimportexport.com/index.php?id_product=10705&amp;controller=product&amp;id_lang=4", "TR011678")</f>
        <v>TR011678</v>
      </c>
      <c r="B203" t="s">
        <v>773</v>
      </c>
      <c r="D203" s="4">
        <v>1281</v>
      </c>
      <c r="E203" t="s">
        <v>774</v>
      </c>
      <c r="F203" t="s">
        <v>16</v>
      </c>
      <c r="G203" t="s">
        <v>306</v>
      </c>
      <c r="H203">
        <v>20</v>
      </c>
      <c r="I203">
        <v>840</v>
      </c>
      <c r="J203" t="s">
        <v>63</v>
      </c>
      <c r="K203" s="17">
        <v>2.39</v>
      </c>
      <c r="L203" s="3">
        <f t="shared" si="3"/>
        <v>0</v>
      </c>
      <c r="N203" t="s">
        <v>775</v>
      </c>
      <c r="O203" t="s">
        <v>42</v>
      </c>
      <c r="P203">
        <v>6.375</v>
      </c>
    </row>
    <row r="204" spans="1:16" x14ac:dyDescent="0.35">
      <c r="A204" s="5" t="str">
        <f>HYPERLINK("https://tienda.tarracoimportexport.com/index.php?id_product=10706&amp;controller=product&amp;id_lang=4", "TR011679")</f>
        <v>TR011679</v>
      </c>
      <c r="B204" t="s">
        <v>776</v>
      </c>
      <c r="D204" s="4">
        <v>1296</v>
      </c>
      <c r="E204" t="s">
        <v>777</v>
      </c>
      <c r="F204" t="s">
        <v>16</v>
      </c>
      <c r="G204" t="s">
        <v>39</v>
      </c>
      <c r="H204">
        <v>24</v>
      </c>
      <c r="I204">
        <v>432</v>
      </c>
      <c r="J204" t="s">
        <v>94</v>
      </c>
      <c r="K204" s="17">
        <v>2.39</v>
      </c>
      <c r="L204" s="3">
        <f t="shared" si="3"/>
        <v>0</v>
      </c>
      <c r="N204" t="s">
        <v>778</v>
      </c>
      <c r="O204" t="s">
        <v>42</v>
      </c>
      <c r="P204">
        <v>5.43</v>
      </c>
    </row>
    <row r="205" spans="1:16" x14ac:dyDescent="0.35">
      <c r="A205" s="5" t="str">
        <f>HYPERLINK("https://tienda.tarracoimportexport.com/index.php?id_product=10232&amp;controller=product&amp;id_lang=4", "TR011261")</f>
        <v>TR011261</v>
      </c>
      <c r="B205" t="s">
        <v>779</v>
      </c>
      <c r="D205" s="4">
        <v>3156</v>
      </c>
      <c r="E205" t="s">
        <v>780</v>
      </c>
      <c r="F205" t="s">
        <v>16</v>
      </c>
      <c r="G205" t="s">
        <v>546</v>
      </c>
      <c r="H205">
        <v>12</v>
      </c>
      <c r="I205">
        <v>216</v>
      </c>
      <c r="J205" t="s">
        <v>94</v>
      </c>
      <c r="K205" s="17">
        <v>8.26</v>
      </c>
      <c r="L205" s="3">
        <f t="shared" si="3"/>
        <v>0</v>
      </c>
      <c r="N205" t="s">
        <v>781</v>
      </c>
      <c r="O205" t="s">
        <v>782</v>
      </c>
      <c r="P205">
        <v>7.25</v>
      </c>
    </row>
    <row r="206" spans="1:16" x14ac:dyDescent="0.35">
      <c r="A206" s="5" t="str">
        <f>HYPERLINK("https://tienda.tarracoimportexport.com/index.php?id_product=10952&amp;controller=product&amp;id_lang=4", "TR011896")</f>
        <v>TR011896</v>
      </c>
      <c r="B206" t="s">
        <v>783</v>
      </c>
      <c r="D206" s="4">
        <v>32848</v>
      </c>
      <c r="E206" t="s">
        <v>784</v>
      </c>
      <c r="F206" t="s">
        <v>16</v>
      </c>
      <c r="G206" t="s">
        <v>242</v>
      </c>
      <c r="H206">
        <v>12</v>
      </c>
      <c r="I206">
        <v>144</v>
      </c>
      <c r="J206" t="s">
        <v>22</v>
      </c>
      <c r="K206" s="17">
        <v>8.0500000000000007</v>
      </c>
      <c r="L206" s="3">
        <f t="shared" si="3"/>
        <v>0</v>
      </c>
      <c r="N206" t="s">
        <v>785</v>
      </c>
      <c r="O206" t="s">
        <v>786</v>
      </c>
      <c r="P206">
        <v>5.0149999999999997</v>
      </c>
    </row>
    <row r="207" spans="1:16" x14ac:dyDescent="0.35">
      <c r="A207" s="5" t="str">
        <f>HYPERLINK("https://tienda.tarracoimportexport.com/index.php?id_product=9623&amp;controller=product&amp;id_lang=4", "TR010676")</f>
        <v>TR010676</v>
      </c>
      <c r="B207" t="s">
        <v>787</v>
      </c>
      <c r="D207" s="4">
        <v>1148</v>
      </c>
      <c r="E207" t="s">
        <v>788</v>
      </c>
      <c r="F207" t="s">
        <v>16</v>
      </c>
      <c r="G207" t="s">
        <v>306</v>
      </c>
      <c r="H207">
        <v>12</v>
      </c>
      <c r="I207">
        <v>420</v>
      </c>
      <c r="J207" t="s">
        <v>516</v>
      </c>
      <c r="K207" s="17">
        <v>3.5</v>
      </c>
      <c r="L207" s="3">
        <f t="shared" si="3"/>
        <v>0</v>
      </c>
      <c r="N207" t="s">
        <v>789</v>
      </c>
      <c r="O207" t="s">
        <v>42</v>
      </c>
      <c r="P207">
        <v>3.57</v>
      </c>
    </row>
    <row r="208" spans="1:16" x14ac:dyDescent="0.35">
      <c r="A208" s="5" t="str">
        <f>HYPERLINK("https://tienda.tarracoimportexport.com/index.php?id_product=10397&amp;controller=product&amp;id_lang=4", "TR011388")</f>
        <v>TR011388</v>
      </c>
      <c r="B208" t="s">
        <v>790</v>
      </c>
      <c r="D208" s="4">
        <v>1640</v>
      </c>
      <c r="E208" t="s">
        <v>791</v>
      </c>
      <c r="F208" t="s">
        <v>16</v>
      </c>
      <c r="G208" t="s">
        <v>46</v>
      </c>
      <c r="H208">
        <v>12</v>
      </c>
      <c r="I208">
        <v>240</v>
      </c>
      <c r="J208" t="s">
        <v>202</v>
      </c>
      <c r="K208" s="17">
        <v>3.61</v>
      </c>
      <c r="L208" s="3">
        <f t="shared" si="3"/>
        <v>0</v>
      </c>
      <c r="N208" t="s">
        <v>792</v>
      </c>
      <c r="O208" t="s">
        <v>42</v>
      </c>
      <c r="P208">
        <v>4.57</v>
      </c>
    </row>
    <row r="209" spans="1:16" x14ac:dyDescent="0.35">
      <c r="A209" s="5" t="str">
        <f>HYPERLINK("https://tienda.tarracoimportexport.com/index.php?id_product=10634&amp;controller=product&amp;id_lang=4", "TR011609")</f>
        <v>TR011609</v>
      </c>
      <c r="B209" t="s">
        <v>793</v>
      </c>
      <c r="D209" s="4">
        <v>1421</v>
      </c>
      <c r="E209" t="s">
        <v>794</v>
      </c>
      <c r="F209" t="s">
        <v>16</v>
      </c>
      <c r="G209" t="s">
        <v>306</v>
      </c>
      <c r="H209">
        <v>12</v>
      </c>
      <c r="I209">
        <v>420</v>
      </c>
      <c r="J209" t="s">
        <v>516</v>
      </c>
      <c r="K209" s="17">
        <v>3.55</v>
      </c>
      <c r="L209" s="3">
        <f t="shared" si="3"/>
        <v>0</v>
      </c>
      <c r="N209" t="s">
        <v>795</v>
      </c>
      <c r="O209" t="s">
        <v>42</v>
      </c>
      <c r="P209">
        <v>3.585</v>
      </c>
    </row>
    <row r="210" spans="1:16" x14ac:dyDescent="0.35">
      <c r="A210" s="5" t="str">
        <f>HYPERLINK("https://tienda.tarracoimportexport.com/index.php?id_product=9764&amp;controller=product&amp;id_lang=4", "TR010812")</f>
        <v>TR010812</v>
      </c>
      <c r="B210" t="s">
        <v>796</v>
      </c>
      <c r="D210" s="4">
        <v>786</v>
      </c>
      <c r="E210" t="s">
        <v>797</v>
      </c>
      <c r="F210" t="s">
        <v>16</v>
      </c>
      <c r="G210" t="s">
        <v>39</v>
      </c>
      <c r="H210">
        <v>12</v>
      </c>
      <c r="I210">
        <v>288</v>
      </c>
      <c r="J210" t="s">
        <v>202</v>
      </c>
      <c r="K210" s="17">
        <v>6.62</v>
      </c>
      <c r="L210" s="3">
        <f t="shared" si="3"/>
        <v>0</v>
      </c>
      <c r="N210" t="s">
        <v>798</v>
      </c>
      <c r="O210" t="s">
        <v>42</v>
      </c>
      <c r="P210">
        <v>5.88</v>
      </c>
    </row>
    <row r="211" spans="1:16" x14ac:dyDescent="0.35">
      <c r="A211" s="5" t="str">
        <f>HYPERLINK("https://tienda.tarracoimportexport.com/index.php?id_product=10523&amp;controller=product&amp;id_lang=4", "TR011500")</f>
        <v>TR011500</v>
      </c>
      <c r="B211" t="s">
        <v>799</v>
      </c>
      <c r="D211" s="4">
        <v>174</v>
      </c>
      <c r="E211" t="s">
        <v>800</v>
      </c>
      <c r="F211" t="s">
        <v>16</v>
      </c>
      <c r="G211" t="s">
        <v>39</v>
      </c>
      <c r="H211">
        <v>12</v>
      </c>
      <c r="I211">
        <v>288</v>
      </c>
      <c r="J211" t="s">
        <v>202</v>
      </c>
      <c r="K211" s="17">
        <v>4.4000000000000004</v>
      </c>
      <c r="L211" s="3">
        <f t="shared" si="3"/>
        <v>0</v>
      </c>
      <c r="N211" t="s">
        <v>801</v>
      </c>
      <c r="O211" t="s">
        <v>42</v>
      </c>
      <c r="P211">
        <v>4.1550000000000002</v>
      </c>
    </row>
    <row r="212" spans="1:16" x14ac:dyDescent="0.35">
      <c r="A212" s="5" t="str">
        <f>HYPERLINK("https://tienda.tarracoimportexport.com/index.php?id_product=10465&amp;controller=product&amp;id_lang=4", "TR011448")</f>
        <v>TR011448</v>
      </c>
      <c r="B212" t="s">
        <v>802</v>
      </c>
      <c r="D212" s="4">
        <v>271</v>
      </c>
      <c r="E212" t="s">
        <v>803</v>
      </c>
      <c r="F212" t="s">
        <v>16</v>
      </c>
      <c r="G212" t="s">
        <v>526</v>
      </c>
      <c r="H212">
        <v>15</v>
      </c>
      <c r="I212">
        <v>75</v>
      </c>
      <c r="J212" t="s">
        <v>804</v>
      </c>
      <c r="K212" s="17">
        <v>11.8</v>
      </c>
      <c r="L212" s="3">
        <f t="shared" si="3"/>
        <v>0</v>
      </c>
      <c r="N212" t="s">
        <v>805</v>
      </c>
      <c r="O212" t="s">
        <v>806</v>
      </c>
      <c r="P212">
        <v>2.2749999999999999</v>
      </c>
    </row>
    <row r="213" spans="1:16" x14ac:dyDescent="0.35">
      <c r="A213" s="5" t="str">
        <f>HYPERLINK("https://tienda.tarracoimportexport.com/index.php?id_product=10633&amp;controller=product&amp;id_lang=4", "TR011608")</f>
        <v>TR011608</v>
      </c>
      <c r="B213" t="s">
        <v>807</v>
      </c>
      <c r="D213" s="4">
        <v>26957</v>
      </c>
      <c r="E213" t="s">
        <v>808</v>
      </c>
      <c r="F213" t="s">
        <v>16</v>
      </c>
      <c r="G213" t="s">
        <v>306</v>
      </c>
      <c r="H213">
        <v>16</v>
      </c>
      <c r="I213">
        <v>672</v>
      </c>
      <c r="J213" t="s">
        <v>374</v>
      </c>
      <c r="K213" s="17">
        <v>1.63</v>
      </c>
      <c r="L213" s="3">
        <f t="shared" si="3"/>
        <v>0</v>
      </c>
      <c r="N213" t="s">
        <v>809</v>
      </c>
      <c r="O213" t="s">
        <v>42</v>
      </c>
      <c r="P213">
        <v>1.2949999999999999</v>
      </c>
    </row>
    <row r="214" spans="1:16" x14ac:dyDescent="0.35">
      <c r="A214" s="5" t="str">
        <f>HYPERLINK("https://tienda.tarracoimportexport.com/index.php?id_product=9829&amp;controller=product&amp;id_lang=4", "TR010875")</f>
        <v>TR010875</v>
      </c>
      <c r="B214" t="s">
        <v>810</v>
      </c>
      <c r="D214" s="4">
        <v>6188</v>
      </c>
      <c r="E214" t="s">
        <v>811</v>
      </c>
      <c r="F214" t="s">
        <v>16</v>
      </c>
      <c r="G214" t="s">
        <v>306</v>
      </c>
      <c r="H214">
        <v>16</v>
      </c>
      <c r="I214">
        <v>560</v>
      </c>
      <c r="J214" t="s">
        <v>140</v>
      </c>
      <c r="K214" s="17">
        <v>1.63</v>
      </c>
      <c r="L214" s="3">
        <f t="shared" si="3"/>
        <v>0</v>
      </c>
      <c r="N214" t="s">
        <v>812</v>
      </c>
      <c r="O214" t="s">
        <v>42</v>
      </c>
      <c r="P214">
        <v>1.2849999999999999</v>
      </c>
    </row>
    <row r="215" spans="1:16" x14ac:dyDescent="0.35">
      <c r="A215" s="5" t="str">
        <f>HYPERLINK("https://tienda.tarracoimportexport.com/index.php?id_product=10632&amp;controller=product&amp;id_lang=4", "TR011607")</f>
        <v>TR011607</v>
      </c>
      <c r="B215" t="s">
        <v>813</v>
      </c>
      <c r="D215" s="4">
        <v>3816</v>
      </c>
      <c r="E215" t="s">
        <v>814</v>
      </c>
      <c r="F215" t="s">
        <v>16</v>
      </c>
      <c r="G215" t="s">
        <v>546</v>
      </c>
      <c r="H215">
        <v>12</v>
      </c>
      <c r="I215">
        <v>108</v>
      </c>
      <c r="J215" t="s">
        <v>22</v>
      </c>
      <c r="K215" s="17">
        <v>8.2100000000000009</v>
      </c>
      <c r="L215" s="3">
        <f t="shared" si="3"/>
        <v>0</v>
      </c>
      <c r="N215" t="s">
        <v>815</v>
      </c>
      <c r="O215" t="s">
        <v>42</v>
      </c>
      <c r="P215">
        <v>5.44</v>
      </c>
    </row>
    <row r="216" spans="1:16" x14ac:dyDescent="0.35">
      <c r="A216" s="5" t="str">
        <f>HYPERLINK("https://tienda.tarracoimportexport.com/index.php?id_product=10520&amp;controller=product&amp;id_lang=4", "TR011497")</f>
        <v>TR011497</v>
      </c>
      <c r="B216" t="s">
        <v>816</v>
      </c>
      <c r="D216" s="4">
        <v>7830</v>
      </c>
      <c r="E216" t="s">
        <v>817</v>
      </c>
      <c r="F216" t="s">
        <v>16</v>
      </c>
      <c r="G216" t="s">
        <v>46</v>
      </c>
      <c r="H216">
        <v>12</v>
      </c>
      <c r="I216">
        <v>240</v>
      </c>
      <c r="J216" t="s">
        <v>202</v>
      </c>
      <c r="K216" s="17">
        <v>2.79</v>
      </c>
      <c r="L216" s="3">
        <f t="shared" si="3"/>
        <v>0</v>
      </c>
      <c r="N216" t="s">
        <v>818</v>
      </c>
      <c r="O216" t="s">
        <v>42</v>
      </c>
      <c r="P216">
        <v>3.0150000000000001</v>
      </c>
    </row>
    <row r="217" spans="1:16" x14ac:dyDescent="0.35">
      <c r="A217" s="5" t="str">
        <f>HYPERLINK("https://tienda.tarracoimportexport.com/index.php?id_product=10425&amp;controller=product&amp;id_lang=4", "TR011416")</f>
        <v>TR011416</v>
      </c>
      <c r="B217" t="s">
        <v>819</v>
      </c>
      <c r="D217" s="4">
        <v>264</v>
      </c>
      <c r="E217" t="s">
        <v>820</v>
      </c>
      <c r="F217" t="s">
        <v>16</v>
      </c>
      <c r="G217" t="s">
        <v>39</v>
      </c>
      <c r="H217">
        <v>16</v>
      </c>
      <c r="I217">
        <v>576</v>
      </c>
      <c r="J217" t="s">
        <v>374</v>
      </c>
      <c r="K217" s="17">
        <v>2.3199999999999998</v>
      </c>
      <c r="L217" s="3">
        <f t="shared" si="3"/>
        <v>0</v>
      </c>
      <c r="N217" t="s">
        <v>821</v>
      </c>
      <c r="O217" t="s">
        <v>822</v>
      </c>
      <c r="P217">
        <v>3.82</v>
      </c>
    </row>
    <row r="218" spans="1:16" x14ac:dyDescent="0.35">
      <c r="A218" s="5" t="str">
        <f>HYPERLINK("https://tienda.tarracoimportexport.com/index.php?id_product=9828&amp;controller=product&amp;id_lang=4", "TR010874")</f>
        <v>TR010874</v>
      </c>
      <c r="B218" t="s">
        <v>823</v>
      </c>
      <c r="D218" s="4">
        <v>8160</v>
      </c>
      <c r="E218" t="s">
        <v>824</v>
      </c>
      <c r="F218" t="s">
        <v>16</v>
      </c>
      <c r="G218" t="s">
        <v>290</v>
      </c>
      <c r="H218">
        <v>16</v>
      </c>
      <c r="I218">
        <v>1280</v>
      </c>
      <c r="J218" t="s">
        <v>140</v>
      </c>
      <c r="K218" s="17">
        <v>0.99</v>
      </c>
      <c r="L218" s="3">
        <f t="shared" si="3"/>
        <v>0</v>
      </c>
      <c r="N218" t="s">
        <v>825</v>
      </c>
      <c r="O218" t="s">
        <v>42</v>
      </c>
      <c r="P218">
        <v>4.67</v>
      </c>
    </row>
    <row r="219" spans="1:16" x14ac:dyDescent="0.35">
      <c r="A219" s="5" t="str">
        <f>HYPERLINK("https://tienda.tarracoimportexport.com/index.php?id_product=1119&amp;controller=product&amp;id_lang=4", "TR002896")</f>
        <v>TR002896</v>
      </c>
      <c r="B219" t="s">
        <v>826</v>
      </c>
      <c r="D219" s="4">
        <v>1608</v>
      </c>
      <c r="E219" t="s">
        <v>827</v>
      </c>
      <c r="F219" t="s">
        <v>16</v>
      </c>
      <c r="G219" t="s">
        <v>50</v>
      </c>
      <c r="H219">
        <v>16</v>
      </c>
      <c r="I219">
        <v>1152</v>
      </c>
      <c r="J219" t="s">
        <v>374</v>
      </c>
      <c r="K219" s="17">
        <v>1.41</v>
      </c>
      <c r="L219" s="3">
        <f t="shared" si="3"/>
        <v>0</v>
      </c>
      <c r="N219" t="s">
        <v>827</v>
      </c>
      <c r="O219" t="s">
        <v>828</v>
      </c>
      <c r="P219">
        <v>5.6</v>
      </c>
    </row>
    <row r="220" spans="1:16" x14ac:dyDescent="0.35">
      <c r="A220" s="5" t="str">
        <f>HYPERLINK("https://tienda.tarracoimportexport.com/index.php?id_product=9554&amp;controller=product&amp;id_lang=4", "TR010612")</f>
        <v>TR010612</v>
      </c>
      <c r="B220" t="s">
        <v>829</v>
      </c>
      <c r="D220" s="4">
        <v>26232</v>
      </c>
      <c r="E220" t="s">
        <v>830</v>
      </c>
      <c r="F220" t="s">
        <v>16</v>
      </c>
      <c r="G220" t="s">
        <v>50</v>
      </c>
      <c r="H220">
        <v>14</v>
      </c>
      <c r="I220">
        <v>1008</v>
      </c>
      <c r="J220" t="s">
        <v>90</v>
      </c>
      <c r="K220" s="17">
        <v>2</v>
      </c>
      <c r="L220" s="3">
        <f t="shared" si="3"/>
        <v>0</v>
      </c>
      <c r="N220" t="s">
        <v>831</v>
      </c>
      <c r="O220" t="s">
        <v>42</v>
      </c>
      <c r="P220">
        <v>10.63</v>
      </c>
    </row>
    <row r="221" spans="1:16" x14ac:dyDescent="0.35">
      <c r="A221" s="5" t="str">
        <f>HYPERLINK("https://tienda.tarracoimportexport.com/index.php?id_product=10126&amp;controller=product&amp;id_lang=4", "TR011165")</f>
        <v>TR011165</v>
      </c>
      <c r="B221" t="s">
        <v>832</v>
      </c>
      <c r="D221" s="4">
        <v>3400</v>
      </c>
      <c r="E221" t="s">
        <v>833</v>
      </c>
      <c r="F221" t="s">
        <v>16</v>
      </c>
      <c r="G221" t="s">
        <v>62</v>
      </c>
      <c r="H221">
        <v>9</v>
      </c>
      <c r="I221">
        <v>648</v>
      </c>
      <c r="J221" t="s">
        <v>834</v>
      </c>
      <c r="K221" s="17">
        <v>0.9</v>
      </c>
      <c r="L221" s="3">
        <f t="shared" si="3"/>
        <v>0</v>
      </c>
      <c r="N221" t="s">
        <v>835</v>
      </c>
      <c r="O221" t="s">
        <v>836</v>
      </c>
      <c r="P221">
        <v>8.49</v>
      </c>
    </row>
    <row r="222" spans="1:16" x14ac:dyDescent="0.35">
      <c r="A222" s="5" t="str">
        <f>HYPERLINK("https://tienda.tarracoimportexport.com/index.php?id_product=6207&amp;controller=product&amp;id_lang=4", "TR007342")</f>
        <v>TR007342</v>
      </c>
      <c r="B222" t="s">
        <v>837</v>
      </c>
      <c r="D222" s="4">
        <v>6192</v>
      </c>
      <c r="E222" t="s">
        <v>838</v>
      </c>
      <c r="F222" t="s">
        <v>16</v>
      </c>
      <c r="G222" t="s">
        <v>39</v>
      </c>
      <c r="H222">
        <v>12</v>
      </c>
      <c r="I222">
        <v>360</v>
      </c>
      <c r="J222" t="s">
        <v>516</v>
      </c>
      <c r="K222" s="17">
        <v>1.63</v>
      </c>
      <c r="L222" s="3">
        <f t="shared" si="3"/>
        <v>0</v>
      </c>
      <c r="N222" t="s">
        <v>839</v>
      </c>
      <c r="O222" t="s">
        <v>836</v>
      </c>
      <c r="P222">
        <v>12.91</v>
      </c>
    </row>
    <row r="223" spans="1:16" x14ac:dyDescent="0.35">
      <c r="A223" s="5" t="str">
        <f>HYPERLINK("https://tienda.tarracoimportexport.com/index.php?id_product=10529&amp;controller=product&amp;id_lang=4", "TR011506")</f>
        <v>TR011506</v>
      </c>
      <c r="B223" t="s">
        <v>840</v>
      </c>
      <c r="D223" s="4">
        <v>290</v>
      </c>
      <c r="E223" t="s">
        <v>841</v>
      </c>
      <c r="F223" t="s">
        <v>16</v>
      </c>
      <c r="G223" t="s">
        <v>27</v>
      </c>
      <c r="H223">
        <v>12</v>
      </c>
      <c r="I223">
        <v>600</v>
      </c>
      <c r="J223" t="s">
        <v>516</v>
      </c>
      <c r="K223" s="17">
        <v>1.48</v>
      </c>
      <c r="L223" s="3">
        <f t="shared" si="3"/>
        <v>0</v>
      </c>
      <c r="N223" t="s">
        <v>842</v>
      </c>
      <c r="O223" t="s">
        <v>30</v>
      </c>
      <c r="P223">
        <v>11.38</v>
      </c>
    </row>
    <row r="224" spans="1:16" x14ac:dyDescent="0.35">
      <c r="A224" s="5" t="str">
        <f>HYPERLINK("https://tienda.tarracoimportexport.com/index.php?id_product=8915&amp;controller=product&amp;id_lang=4", "TR010004")</f>
        <v>TR010004</v>
      </c>
      <c r="B224" t="s">
        <v>843</v>
      </c>
      <c r="D224" s="4">
        <v>32848</v>
      </c>
      <c r="E224" t="s">
        <v>844</v>
      </c>
      <c r="F224" t="s">
        <v>16</v>
      </c>
      <c r="G224" t="s">
        <v>62</v>
      </c>
      <c r="H224">
        <v>66</v>
      </c>
      <c r="I224">
        <v>7392</v>
      </c>
      <c r="J224" t="s">
        <v>845</v>
      </c>
      <c r="K224" s="17">
        <v>0.11</v>
      </c>
      <c r="L224" s="3">
        <f t="shared" si="3"/>
        <v>0</v>
      </c>
      <c r="N224" t="s">
        <v>846</v>
      </c>
      <c r="O224" t="s">
        <v>847</v>
      </c>
      <c r="P224">
        <v>0.23499999999999999</v>
      </c>
    </row>
    <row r="225" spans="1:16" x14ac:dyDescent="0.35">
      <c r="A225" s="5" t="str">
        <f>HYPERLINK("https://tienda.tarracoimportexport.com/index.php?id_product=8914&amp;controller=product&amp;id_lang=4", "TR010003")</f>
        <v>TR010003</v>
      </c>
      <c r="B225" t="s">
        <v>848</v>
      </c>
      <c r="D225" s="4">
        <v>6600</v>
      </c>
      <c r="E225" t="s">
        <v>849</v>
      </c>
      <c r="F225" t="s">
        <v>16</v>
      </c>
      <c r="G225" t="s">
        <v>62</v>
      </c>
      <c r="H225">
        <v>66</v>
      </c>
      <c r="I225">
        <v>7392</v>
      </c>
      <c r="J225" t="s">
        <v>845</v>
      </c>
      <c r="K225" s="17">
        <v>0.11</v>
      </c>
      <c r="L225" s="3">
        <f t="shared" si="3"/>
        <v>0</v>
      </c>
      <c r="N225" t="s">
        <v>850</v>
      </c>
      <c r="O225" t="s">
        <v>847</v>
      </c>
      <c r="P225">
        <v>0.23</v>
      </c>
    </row>
    <row r="226" spans="1:16" x14ac:dyDescent="0.35">
      <c r="A226" s="5" t="str">
        <f>HYPERLINK("https://tienda.tarracoimportexport.com/index.php?id_product=9268&amp;controller=product&amp;id_lang=4", "TR010341")</f>
        <v>TR010341</v>
      </c>
      <c r="B226" t="s">
        <v>851</v>
      </c>
      <c r="D226" s="4">
        <v>480</v>
      </c>
      <c r="E226" t="s">
        <v>852</v>
      </c>
      <c r="F226" t="s">
        <v>853</v>
      </c>
      <c r="G226" t="s">
        <v>290</v>
      </c>
      <c r="H226">
        <v>28</v>
      </c>
      <c r="I226">
        <v>4480</v>
      </c>
      <c r="J226" t="s">
        <v>496</v>
      </c>
      <c r="K226" s="17">
        <v>1.08</v>
      </c>
      <c r="L226" s="3">
        <f t="shared" si="3"/>
        <v>0</v>
      </c>
      <c r="N226" t="s">
        <v>854</v>
      </c>
      <c r="O226" t="s">
        <v>855</v>
      </c>
      <c r="P226">
        <v>2.16</v>
      </c>
    </row>
    <row r="227" spans="1:16" x14ac:dyDescent="0.35">
      <c r="A227" s="5" t="str">
        <f>HYPERLINK("https://tienda.tarracoimportexport.com/index.php?id_product=9269&amp;controller=product&amp;id_lang=4", "TR010342")</f>
        <v>TR010342</v>
      </c>
      <c r="B227" t="s">
        <v>856</v>
      </c>
      <c r="D227" s="4">
        <v>768</v>
      </c>
      <c r="E227" t="s">
        <v>857</v>
      </c>
      <c r="F227" t="s">
        <v>853</v>
      </c>
      <c r="G227" t="s">
        <v>290</v>
      </c>
      <c r="H227">
        <v>28</v>
      </c>
      <c r="I227">
        <v>4480</v>
      </c>
      <c r="J227" t="s">
        <v>496</v>
      </c>
      <c r="K227" s="17">
        <v>1.08</v>
      </c>
      <c r="L227" s="3">
        <f t="shared" si="3"/>
        <v>0</v>
      </c>
      <c r="N227" t="s">
        <v>858</v>
      </c>
      <c r="O227" t="s">
        <v>855</v>
      </c>
      <c r="P227">
        <v>2.2200000000000002</v>
      </c>
    </row>
    <row r="228" spans="1:16" x14ac:dyDescent="0.35">
      <c r="A228" s="5" t="str">
        <f>HYPERLINK("https://tienda.tarracoimportexport.com/index.php?id_product=9313&amp;controller=product&amp;id_lang=4", "TR010386")</f>
        <v>TR010386</v>
      </c>
      <c r="B228" t="s">
        <v>859</v>
      </c>
      <c r="D228" s="4">
        <v>16188</v>
      </c>
      <c r="E228" t="s">
        <v>860</v>
      </c>
      <c r="F228" t="s">
        <v>16</v>
      </c>
      <c r="G228" t="s">
        <v>50</v>
      </c>
      <c r="H228">
        <v>19</v>
      </c>
      <c r="I228">
        <v>1368</v>
      </c>
      <c r="J228" t="s">
        <v>352</v>
      </c>
      <c r="K228" s="17">
        <v>1.32</v>
      </c>
      <c r="L228" s="3">
        <f t="shared" si="3"/>
        <v>0</v>
      </c>
      <c r="N228" t="s">
        <v>861</v>
      </c>
      <c r="O228" t="s">
        <v>354</v>
      </c>
      <c r="P228">
        <v>6.98</v>
      </c>
    </row>
    <row r="229" spans="1:16" x14ac:dyDescent="0.35">
      <c r="A229" s="5" t="str">
        <f>HYPERLINK("https://tienda.tarracoimportexport.com/index.php?id_product=10096&amp;controller=product&amp;id_lang=4", "TR011135")</f>
        <v>TR011135</v>
      </c>
      <c r="B229" t="s">
        <v>862</v>
      </c>
      <c r="D229" s="4">
        <v>10860</v>
      </c>
      <c r="E229" t="s">
        <v>863</v>
      </c>
      <c r="F229" t="s">
        <v>16</v>
      </c>
      <c r="G229" t="s">
        <v>50</v>
      </c>
      <c r="H229">
        <v>19</v>
      </c>
      <c r="I229">
        <v>1368</v>
      </c>
      <c r="J229" t="s">
        <v>352</v>
      </c>
      <c r="K229" s="17">
        <v>1.32</v>
      </c>
      <c r="L229" s="3">
        <f t="shared" si="3"/>
        <v>0</v>
      </c>
      <c r="N229" t="s">
        <v>864</v>
      </c>
      <c r="O229" t="s">
        <v>354</v>
      </c>
      <c r="P229">
        <v>6.89</v>
      </c>
    </row>
    <row r="230" spans="1:16" x14ac:dyDescent="0.35">
      <c r="A230" s="5" t="str">
        <f>HYPERLINK("https://tienda.tarracoimportexport.com/index.php?id_product=10183&amp;controller=product&amp;id_lang=4", "TR011217")</f>
        <v>TR011217</v>
      </c>
      <c r="B230" t="s">
        <v>865</v>
      </c>
      <c r="D230" s="4">
        <v>5136</v>
      </c>
      <c r="E230" t="s">
        <v>866</v>
      </c>
      <c r="F230" t="s">
        <v>16</v>
      </c>
      <c r="G230" t="s">
        <v>39</v>
      </c>
      <c r="H230">
        <v>30</v>
      </c>
      <c r="I230">
        <v>1440</v>
      </c>
      <c r="J230" t="s">
        <v>867</v>
      </c>
      <c r="K230" s="17">
        <v>2.89</v>
      </c>
      <c r="L230" s="3">
        <f t="shared" si="3"/>
        <v>0</v>
      </c>
      <c r="N230" t="s">
        <v>868</v>
      </c>
      <c r="O230" t="s">
        <v>869</v>
      </c>
      <c r="P230">
        <v>1.05</v>
      </c>
    </row>
    <row r="231" spans="1:16" x14ac:dyDescent="0.35">
      <c r="A231" s="5" t="str">
        <f>HYPERLINK("https://tienda.tarracoimportexport.com/index.php?id_product=9445&amp;controller=product&amp;id_lang=4", "TR010513")</f>
        <v>TR010513</v>
      </c>
      <c r="B231" t="s">
        <v>870</v>
      </c>
      <c r="D231" s="4">
        <v>228</v>
      </c>
      <c r="E231" t="s">
        <v>871</v>
      </c>
      <c r="F231" t="s">
        <v>16</v>
      </c>
      <c r="G231" t="s">
        <v>39</v>
      </c>
      <c r="H231">
        <v>56</v>
      </c>
      <c r="I231">
        <v>2016</v>
      </c>
      <c r="J231" t="s">
        <v>175</v>
      </c>
      <c r="K231" s="17">
        <v>3.4</v>
      </c>
      <c r="L231" s="3">
        <f t="shared" si="3"/>
        <v>0</v>
      </c>
      <c r="N231" t="s">
        <v>872</v>
      </c>
      <c r="O231" t="s">
        <v>30</v>
      </c>
      <c r="P231">
        <v>1.43</v>
      </c>
    </row>
    <row r="232" spans="1:16" x14ac:dyDescent="0.35">
      <c r="A232" s="5" t="str">
        <f>HYPERLINK("https://tienda.tarracoimportexport.com/index.php?id_product=9506&amp;controller=product&amp;id_lang=4", "TR010571")</f>
        <v>TR010571</v>
      </c>
      <c r="B232" t="s">
        <v>873</v>
      </c>
      <c r="D232" s="4">
        <v>1044</v>
      </c>
      <c r="E232" t="s">
        <v>871</v>
      </c>
      <c r="F232" t="s">
        <v>16</v>
      </c>
      <c r="G232" t="s">
        <v>39</v>
      </c>
      <c r="H232">
        <v>1</v>
      </c>
      <c r="I232">
        <v>420</v>
      </c>
      <c r="J232" t="s">
        <v>192</v>
      </c>
      <c r="K232" s="17">
        <v>3.4</v>
      </c>
      <c r="L232" s="3">
        <f t="shared" si="3"/>
        <v>0</v>
      </c>
      <c r="N232" t="s">
        <v>874</v>
      </c>
      <c r="O232" t="s">
        <v>30</v>
      </c>
      <c r="P232">
        <v>1.4650000000000001</v>
      </c>
    </row>
    <row r="233" spans="1:16" x14ac:dyDescent="0.35">
      <c r="A233" s="5" t="str">
        <f>HYPERLINK("https://tienda.tarracoimportexport.com/index.php?id_product=9444&amp;controller=product&amp;id_lang=4", "TR010512")</f>
        <v>TR010512</v>
      </c>
      <c r="B233" t="s">
        <v>875</v>
      </c>
      <c r="D233" s="4">
        <v>7344</v>
      </c>
      <c r="E233" t="s">
        <v>876</v>
      </c>
      <c r="F233" t="s">
        <v>16</v>
      </c>
      <c r="G233" t="s">
        <v>39</v>
      </c>
      <c r="H233">
        <v>51</v>
      </c>
      <c r="I233">
        <v>1530</v>
      </c>
      <c r="J233" t="s">
        <v>877</v>
      </c>
      <c r="K233" s="17">
        <v>3.4</v>
      </c>
      <c r="L233" s="3">
        <f t="shared" si="3"/>
        <v>0</v>
      </c>
      <c r="N233" t="s">
        <v>878</v>
      </c>
      <c r="O233" t="s">
        <v>30</v>
      </c>
      <c r="P233">
        <v>1.2849999999999999</v>
      </c>
    </row>
    <row r="234" spans="1:16" x14ac:dyDescent="0.35">
      <c r="A234" s="5" t="str">
        <f>HYPERLINK("https://tienda.tarracoimportexport.com/index.php?id_product=10184&amp;controller=product&amp;id_lang=4", "TR011218")</f>
        <v>TR011218</v>
      </c>
      <c r="B234" t="s">
        <v>879</v>
      </c>
      <c r="D234" s="4">
        <v>6594</v>
      </c>
      <c r="E234" t="s">
        <v>880</v>
      </c>
      <c r="F234" t="s">
        <v>16</v>
      </c>
      <c r="G234" t="s">
        <v>39</v>
      </c>
      <c r="H234">
        <v>52</v>
      </c>
      <c r="I234">
        <v>1560</v>
      </c>
      <c r="J234" t="s">
        <v>881</v>
      </c>
      <c r="K234" s="17">
        <v>2.89</v>
      </c>
      <c r="L234" s="3">
        <f t="shared" si="3"/>
        <v>0</v>
      </c>
      <c r="N234" t="s">
        <v>882</v>
      </c>
      <c r="O234" t="s">
        <v>883</v>
      </c>
      <c r="P234">
        <v>1.2749999999999999</v>
      </c>
    </row>
    <row r="235" spans="1:16" x14ac:dyDescent="0.35">
      <c r="A235" s="5" t="str">
        <f>HYPERLINK("https://tienda.tarracoimportexport.com/index.php?id_product=7641&amp;controller=product&amp;id_lang=4", "TR008810")</f>
        <v>TR008810</v>
      </c>
      <c r="B235" t="s">
        <v>884</v>
      </c>
      <c r="D235" s="4">
        <v>13825</v>
      </c>
      <c r="E235" t="s">
        <v>885</v>
      </c>
      <c r="F235" t="s">
        <v>16</v>
      </c>
      <c r="G235" t="s">
        <v>185</v>
      </c>
      <c r="H235">
        <v>53</v>
      </c>
      <c r="I235">
        <v>6625</v>
      </c>
      <c r="J235" t="s">
        <v>886</v>
      </c>
      <c r="K235" s="17">
        <v>0.26</v>
      </c>
      <c r="L235" s="3">
        <f t="shared" si="3"/>
        <v>0</v>
      </c>
      <c r="N235" t="s">
        <v>887</v>
      </c>
      <c r="O235" t="s">
        <v>888</v>
      </c>
      <c r="P235">
        <v>0.99</v>
      </c>
    </row>
    <row r="236" spans="1:16" x14ac:dyDescent="0.35">
      <c r="A236" s="27" t="str">
        <f>HYPERLINK("https://tienda.tarracoimportexport.com/index.php?id_product=10668&amp;controller=product&amp;id_lang=4", "TR011643")</f>
        <v>TR011643</v>
      </c>
      <c r="B236" t="s">
        <v>889</v>
      </c>
      <c r="D236" s="4">
        <v>5448</v>
      </c>
      <c r="E236" t="s">
        <v>890</v>
      </c>
      <c r="F236" t="s">
        <v>16</v>
      </c>
      <c r="G236" t="s">
        <v>50</v>
      </c>
      <c r="H236">
        <v>26</v>
      </c>
      <c r="I236">
        <v>1560</v>
      </c>
      <c r="J236" t="s">
        <v>891</v>
      </c>
      <c r="K236" s="17">
        <v>1.78</v>
      </c>
      <c r="L236" s="3">
        <f>K236*C236</f>
        <v>0</v>
      </c>
      <c r="N236" t="s">
        <v>892</v>
      </c>
      <c r="O236" t="s">
        <v>550</v>
      </c>
      <c r="P236">
        <v>3.5249999999999999</v>
      </c>
    </row>
    <row r="237" spans="1:16" x14ac:dyDescent="0.35">
      <c r="A237" s="27" t="str">
        <f>HYPERLINK("https://tienda.tarracoimportexport.com/index.php?id_product=10663&amp;controller=product&amp;id_lang=4", "TR011638")</f>
        <v>TR011638</v>
      </c>
      <c r="B237" t="s">
        <v>3127</v>
      </c>
      <c r="D237" s="4">
        <v>6660</v>
      </c>
      <c r="E237" t="s">
        <v>3128</v>
      </c>
      <c r="F237" t="s">
        <v>16</v>
      </c>
      <c r="G237" t="s">
        <v>50</v>
      </c>
      <c r="H237">
        <v>26</v>
      </c>
      <c r="I237">
        <v>1560</v>
      </c>
      <c r="J237" t="s">
        <v>891</v>
      </c>
      <c r="K237" s="17">
        <v>1.78</v>
      </c>
      <c r="L237" s="3">
        <f>K237*C237</f>
        <v>0</v>
      </c>
      <c r="N237" t="s">
        <v>3129</v>
      </c>
      <c r="O237" t="s">
        <v>550</v>
      </c>
      <c r="P237">
        <v>3.5249999999999999</v>
      </c>
    </row>
    <row r="238" spans="1:16" x14ac:dyDescent="0.35">
      <c r="A238" s="27" t="str">
        <f>HYPERLINK("https://tienda.tarracoimportexport.com/index.php?id_product=10662&amp;controller=product&amp;id_lang=4", "TR011637")</f>
        <v>TR011637</v>
      </c>
      <c r="B238" t="s">
        <v>893</v>
      </c>
      <c r="D238" s="4">
        <v>4476</v>
      </c>
      <c r="E238" t="s">
        <v>894</v>
      </c>
      <c r="F238" t="s">
        <v>16</v>
      </c>
      <c r="G238" t="s">
        <v>50</v>
      </c>
      <c r="H238">
        <v>26</v>
      </c>
      <c r="I238">
        <v>1560</v>
      </c>
      <c r="J238" t="s">
        <v>891</v>
      </c>
      <c r="K238" s="17">
        <v>1.78</v>
      </c>
      <c r="L238" s="3">
        <f>K238*C238</f>
        <v>0</v>
      </c>
      <c r="N238" t="s">
        <v>895</v>
      </c>
      <c r="O238" t="s">
        <v>550</v>
      </c>
      <c r="P238">
        <v>3.5249999999999999</v>
      </c>
    </row>
    <row r="239" spans="1:16" x14ac:dyDescent="0.35">
      <c r="A239" s="27" t="str">
        <f>HYPERLINK("https://tienda.tarracoimportexport.com/index.php?id_product=10665&amp;controller=product&amp;id_lang=4", "TR011640")</f>
        <v>TR011640</v>
      </c>
      <c r="B239" t="s">
        <v>3130</v>
      </c>
      <c r="D239" s="4">
        <v>6120</v>
      </c>
      <c r="E239" t="s">
        <v>3131</v>
      </c>
      <c r="F239" t="s">
        <v>16</v>
      </c>
      <c r="G239" t="s">
        <v>50</v>
      </c>
      <c r="H239">
        <v>26</v>
      </c>
      <c r="I239">
        <v>1560</v>
      </c>
      <c r="J239" t="s">
        <v>891</v>
      </c>
      <c r="K239" s="17">
        <v>1.78</v>
      </c>
      <c r="L239" s="3">
        <f>K239*C239</f>
        <v>0</v>
      </c>
      <c r="N239" t="s">
        <v>3132</v>
      </c>
      <c r="O239" t="s">
        <v>550</v>
      </c>
      <c r="P239">
        <v>3.5249999999999999</v>
      </c>
    </row>
    <row r="240" spans="1:16" x14ac:dyDescent="0.35">
      <c r="A240" s="27" t="str">
        <f>HYPERLINK("https://tienda.tarracoimportexport.com/index.php?id_product=10664&amp;controller=product&amp;id_lang=4", "TR011639")</f>
        <v>TR011639</v>
      </c>
      <c r="B240" t="s">
        <v>3133</v>
      </c>
      <c r="D240" s="4">
        <v>6096</v>
      </c>
      <c r="E240" t="s">
        <v>3134</v>
      </c>
      <c r="F240" t="s">
        <v>16</v>
      </c>
      <c r="G240" t="s">
        <v>50</v>
      </c>
      <c r="H240">
        <v>26</v>
      </c>
      <c r="I240">
        <v>1560</v>
      </c>
      <c r="J240" t="s">
        <v>891</v>
      </c>
      <c r="K240" s="17">
        <v>1.78</v>
      </c>
      <c r="L240" s="3">
        <f>K240*C240</f>
        <v>0</v>
      </c>
      <c r="N240" t="s">
        <v>3135</v>
      </c>
      <c r="O240" t="s">
        <v>550</v>
      </c>
      <c r="P240">
        <v>3.5249999999999999</v>
      </c>
    </row>
    <row r="241" spans="1:16" x14ac:dyDescent="0.35">
      <c r="A241" s="27" t="str">
        <f>HYPERLINK("https://tienda.tarracoimportexport.com/index.php?id_product=10666&amp;controller=product&amp;id_lang=4", "TR011641")</f>
        <v>TR011641</v>
      </c>
      <c r="B241" t="s">
        <v>3136</v>
      </c>
      <c r="D241" s="4">
        <v>9024</v>
      </c>
      <c r="E241" t="s">
        <v>3137</v>
      </c>
      <c r="F241" t="s">
        <v>16</v>
      </c>
      <c r="G241" t="s">
        <v>50</v>
      </c>
      <c r="H241">
        <v>26</v>
      </c>
      <c r="I241">
        <v>1560</v>
      </c>
      <c r="J241" t="s">
        <v>891</v>
      </c>
      <c r="K241" s="17">
        <v>1.78</v>
      </c>
      <c r="L241" s="3">
        <f>K241*C241</f>
        <v>0</v>
      </c>
      <c r="N241" t="s">
        <v>3138</v>
      </c>
      <c r="O241" t="s">
        <v>550</v>
      </c>
      <c r="P241">
        <v>3.5249999999999999</v>
      </c>
    </row>
    <row r="242" spans="1:16" x14ac:dyDescent="0.35">
      <c r="A242" s="27" t="str">
        <f>HYPERLINK("https://tienda.tarracoimportexport.com/index.php?id_product=10667&amp;controller=product&amp;id_lang=4", "TR011642")</f>
        <v>TR011642</v>
      </c>
      <c r="B242" t="s">
        <v>896</v>
      </c>
      <c r="D242" s="4">
        <v>6036</v>
      </c>
      <c r="E242" t="s">
        <v>897</v>
      </c>
      <c r="F242" t="s">
        <v>16</v>
      </c>
      <c r="G242" t="s">
        <v>50</v>
      </c>
      <c r="H242">
        <v>26</v>
      </c>
      <c r="I242">
        <v>1560</v>
      </c>
      <c r="J242" t="s">
        <v>891</v>
      </c>
      <c r="K242" s="17">
        <v>1.78</v>
      </c>
      <c r="L242" s="3">
        <f>K242*C242</f>
        <v>0</v>
      </c>
      <c r="N242" t="s">
        <v>898</v>
      </c>
      <c r="O242" t="s">
        <v>550</v>
      </c>
      <c r="P242">
        <v>3.5249999999999999</v>
      </c>
    </row>
    <row r="243" spans="1:16" x14ac:dyDescent="0.35">
      <c r="A243" s="27" t="str">
        <f>HYPERLINK("https://tienda.tarracoimportexport.com/index.php?id_product=10669&amp;controller=product&amp;id_lang=4", "TR011644")</f>
        <v>TR011644</v>
      </c>
      <c r="B243" t="s">
        <v>3139</v>
      </c>
      <c r="D243" s="4">
        <v>4512</v>
      </c>
      <c r="E243" t="s">
        <v>3140</v>
      </c>
      <c r="F243" t="s">
        <v>16</v>
      </c>
      <c r="G243" t="s">
        <v>50</v>
      </c>
      <c r="H243">
        <v>26</v>
      </c>
      <c r="I243">
        <v>1560</v>
      </c>
      <c r="J243" t="s">
        <v>891</v>
      </c>
      <c r="K243" s="17">
        <v>1.78</v>
      </c>
      <c r="L243" s="3">
        <f>K243*C243</f>
        <v>0</v>
      </c>
      <c r="N243" t="s">
        <v>3141</v>
      </c>
      <c r="O243" t="s">
        <v>550</v>
      </c>
      <c r="P243">
        <v>3.5249999999999999</v>
      </c>
    </row>
    <row r="244" spans="1:16" x14ac:dyDescent="0.35">
      <c r="A244" s="27" t="str">
        <f>HYPERLINK("https://tienda.tarracoimportexport.com/index.php?id_product=10671&amp;controller=product&amp;id_lang=4", "TR011646")</f>
        <v>TR011646</v>
      </c>
      <c r="B244" t="s">
        <v>3142</v>
      </c>
      <c r="D244" s="4">
        <v>4728</v>
      </c>
      <c r="E244" t="s">
        <v>3143</v>
      </c>
      <c r="F244" t="s">
        <v>16</v>
      </c>
      <c r="G244" t="s">
        <v>50</v>
      </c>
      <c r="H244">
        <v>26</v>
      </c>
      <c r="I244">
        <v>1560</v>
      </c>
      <c r="J244" t="s">
        <v>891</v>
      </c>
      <c r="K244" s="17">
        <v>1.78</v>
      </c>
      <c r="L244" s="3">
        <f>K244*C244</f>
        <v>0</v>
      </c>
      <c r="N244" t="s">
        <v>3144</v>
      </c>
      <c r="O244" t="s">
        <v>550</v>
      </c>
      <c r="P244">
        <v>3.5249999999999999</v>
      </c>
    </row>
    <row r="245" spans="1:16" x14ac:dyDescent="0.35">
      <c r="A245" s="27" t="str">
        <f>HYPERLINK("https://tienda.tarracoimportexport.com/index.php?id_product=11003&amp;controller=product&amp;id_lang=4", "TR011943")</f>
        <v>TR011943</v>
      </c>
      <c r="B245" t="s">
        <v>3145</v>
      </c>
      <c r="D245" s="4">
        <v>3096</v>
      </c>
      <c r="E245" t="s">
        <v>3146</v>
      </c>
      <c r="F245" t="s">
        <v>16</v>
      </c>
      <c r="G245" t="s">
        <v>50</v>
      </c>
      <c r="H245">
        <v>26</v>
      </c>
      <c r="I245">
        <v>1560</v>
      </c>
      <c r="J245" t="s">
        <v>891</v>
      </c>
      <c r="K245" s="17">
        <v>1.78</v>
      </c>
      <c r="L245" s="3">
        <f>K245*C245</f>
        <v>0</v>
      </c>
      <c r="N245" t="s">
        <v>3147</v>
      </c>
      <c r="O245" t="s">
        <v>550</v>
      </c>
      <c r="P245">
        <v>3.52</v>
      </c>
    </row>
    <row r="246" spans="1:16" x14ac:dyDescent="0.35">
      <c r="A246" s="27" t="str">
        <f>HYPERLINK("https://tienda.tarracoimportexport.com/index.php?id_product=10670&amp;controller=product&amp;id_lang=4", "TR011645")</f>
        <v>TR011645</v>
      </c>
      <c r="B246" t="s">
        <v>3148</v>
      </c>
      <c r="D246" s="4">
        <v>4536</v>
      </c>
      <c r="E246" t="s">
        <v>3149</v>
      </c>
      <c r="F246" t="s">
        <v>16</v>
      </c>
      <c r="G246" t="s">
        <v>50</v>
      </c>
      <c r="H246">
        <v>26</v>
      </c>
      <c r="I246">
        <v>1560</v>
      </c>
      <c r="J246" t="s">
        <v>891</v>
      </c>
      <c r="K246" s="17">
        <v>1.78</v>
      </c>
      <c r="L246" s="3">
        <f>K246*C246</f>
        <v>0</v>
      </c>
      <c r="N246" t="s">
        <v>3150</v>
      </c>
      <c r="O246" t="s">
        <v>550</v>
      </c>
      <c r="P246">
        <v>3.5249999999999999</v>
      </c>
    </row>
    <row r="247" spans="1:16" x14ac:dyDescent="0.35">
      <c r="A247" s="5" t="str">
        <f>HYPERLINK("https://tienda.tarracoimportexport.com/index.php?id_product=9153&amp;controller=product&amp;id_lang=4", "TR010233")</f>
        <v>TR010233</v>
      </c>
      <c r="B247" t="s">
        <v>900</v>
      </c>
      <c r="D247" s="4">
        <v>90900</v>
      </c>
      <c r="E247" t="s">
        <v>901</v>
      </c>
      <c r="F247" t="s">
        <v>16</v>
      </c>
      <c r="G247" t="s">
        <v>17</v>
      </c>
      <c r="H247">
        <v>10</v>
      </c>
      <c r="I247">
        <v>1800</v>
      </c>
      <c r="J247" t="s">
        <v>357</v>
      </c>
      <c r="K247" s="17">
        <v>1.79</v>
      </c>
      <c r="L247" s="3">
        <f t="shared" ref="L247:L309" si="4">K247*C247</f>
        <v>0</v>
      </c>
      <c r="N247" t="s">
        <v>902</v>
      </c>
      <c r="O247" t="s">
        <v>903</v>
      </c>
      <c r="P247">
        <v>1.17</v>
      </c>
    </row>
    <row r="248" spans="1:16" x14ac:dyDescent="0.35">
      <c r="A248" s="5" t="str">
        <f>HYPERLINK("https://tienda.tarracoimportexport.com/index.php?id_product=10513&amp;controller=product&amp;id_lang=4", "TR011491")</f>
        <v>TR011491</v>
      </c>
      <c r="B248" t="s">
        <v>904</v>
      </c>
      <c r="D248" s="4">
        <v>72</v>
      </c>
      <c r="E248" t="s">
        <v>905</v>
      </c>
      <c r="F248" t="s">
        <v>16</v>
      </c>
      <c r="G248" t="s">
        <v>39</v>
      </c>
      <c r="H248">
        <v>52</v>
      </c>
      <c r="I248">
        <v>1248</v>
      </c>
      <c r="J248" t="s">
        <v>906</v>
      </c>
      <c r="K248" s="17">
        <v>16.3</v>
      </c>
      <c r="L248" s="3">
        <f t="shared" si="4"/>
        <v>0</v>
      </c>
      <c r="N248" t="s">
        <v>907</v>
      </c>
      <c r="O248" t="s">
        <v>908</v>
      </c>
      <c r="P248">
        <v>0.77500000000000002</v>
      </c>
    </row>
    <row r="249" spans="1:16" x14ac:dyDescent="0.35">
      <c r="A249" s="5" t="str">
        <f>HYPERLINK("https://tienda.tarracoimportexport.com/index.php?id_product=10770&amp;controller=product&amp;id_lang=4", "TR011727")</f>
        <v>TR011727</v>
      </c>
      <c r="B249" t="s">
        <v>909</v>
      </c>
      <c r="D249" s="4">
        <v>6800</v>
      </c>
      <c r="E249" t="s">
        <v>910</v>
      </c>
      <c r="F249" t="s">
        <v>16</v>
      </c>
      <c r="G249" t="s">
        <v>911</v>
      </c>
      <c r="H249">
        <v>6</v>
      </c>
      <c r="I249">
        <v>6000</v>
      </c>
      <c r="J249" t="s">
        <v>362</v>
      </c>
      <c r="K249" s="17">
        <v>8.4499999999999993</v>
      </c>
      <c r="L249" s="3">
        <f t="shared" si="4"/>
        <v>0</v>
      </c>
      <c r="N249" t="s">
        <v>912</v>
      </c>
      <c r="O249" t="s">
        <v>913</v>
      </c>
      <c r="P249">
        <v>9.73</v>
      </c>
    </row>
    <row r="250" spans="1:16" x14ac:dyDescent="0.35">
      <c r="A250" s="5" t="str">
        <f>HYPERLINK("https://tienda.tarracoimportexport.com/index.php?id_product=10599&amp;controller=product&amp;id_lang=4", "TR011575")</f>
        <v>TR011575</v>
      </c>
      <c r="B250" t="s">
        <v>914</v>
      </c>
      <c r="D250" s="4">
        <v>2300</v>
      </c>
      <c r="E250" t="s">
        <v>915</v>
      </c>
      <c r="F250" t="s">
        <v>16</v>
      </c>
      <c r="G250" t="s">
        <v>17</v>
      </c>
      <c r="H250">
        <v>26</v>
      </c>
      <c r="I250">
        <v>2600</v>
      </c>
      <c r="J250" t="s">
        <v>891</v>
      </c>
      <c r="K250" s="17">
        <v>9.58</v>
      </c>
      <c r="L250" s="3">
        <f t="shared" si="4"/>
        <v>0</v>
      </c>
      <c r="N250" t="s">
        <v>916</v>
      </c>
      <c r="O250" t="s">
        <v>917</v>
      </c>
      <c r="P250">
        <v>0.92</v>
      </c>
    </row>
    <row r="251" spans="1:16" x14ac:dyDescent="0.35">
      <c r="A251" s="5" t="str">
        <f>HYPERLINK("https://tienda.tarracoimportexport.com/index.php?id_product=10936&amp;controller=product&amp;id_lang=4", "TR011882")</f>
        <v>TR011882</v>
      </c>
      <c r="B251" t="s">
        <v>918</v>
      </c>
      <c r="D251" s="4">
        <v>48</v>
      </c>
      <c r="E251" t="s">
        <v>919</v>
      </c>
      <c r="F251" t="s">
        <v>16</v>
      </c>
      <c r="G251" t="s">
        <v>62</v>
      </c>
      <c r="H251">
        <v>6</v>
      </c>
      <c r="I251">
        <v>48</v>
      </c>
      <c r="J251" t="s">
        <v>39</v>
      </c>
      <c r="K251" s="17">
        <v>8.25</v>
      </c>
      <c r="L251" s="3">
        <f t="shared" si="4"/>
        <v>0</v>
      </c>
      <c r="N251" t="s">
        <v>920</v>
      </c>
      <c r="O251" t="s">
        <v>921</v>
      </c>
      <c r="P251">
        <v>0.89500000000000002</v>
      </c>
    </row>
    <row r="252" spans="1:16" x14ac:dyDescent="0.35">
      <c r="A252" s="5" t="str">
        <f>HYPERLINK("https://tienda.tarracoimportexport.com/index.php?id_product=9604&amp;controller=product&amp;id_lang=4", "TR010658")</f>
        <v>TR010658</v>
      </c>
      <c r="B252" t="s">
        <v>922</v>
      </c>
      <c r="D252" s="4">
        <v>2250</v>
      </c>
      <c r="E252" t="s">
        <v>923</v>
      </c>
      <c r="F252" t="s">
        <v>125</v>
      </c>
      <c r="G252" t="s">
        <v>39</v>
      </c>
      <c r="H252">
        <v>62</v>
      </c>
      <c r="I252">
        <v>2604</v>
      </c>
      <c r="J252" t="s">
        <v>924</v>
      </c>
      <c r="K252" s="17">
        <v>1.72</v>
      </c>
      <c r="L252" s="3">
        <f t="shared" si="4"/>
        <v>0</v>
      </c>
      <c r="N252" t="s">
        <v>925</v>
      </c>
      <c r="O252" t="s">
        <v>926</v>
      </c>
      <c r="P252">
        <v>1.49</v>
      </c>
    </row>
    <row r="253" spans="1:16" x14ac:dyDescent="0.35">
      <c r="A253" s="5" t="str">
        <f>HYPERLINK("https://tienda.tarracoimportexport.com/index.php?id_product=10505&amp;controller=product&amp;id_lang=4", "TR011483")</f>
        <v>TR011483</v>
      </c>
      <c r="B253" t="s">
        <v>927</v>
      </c>
      <c r="D253" s="4">
        <v>4328</v>
      </c>
      <c r="E253" t="s">
        <v>928</v>
      </c>
      <c r="F253" t="s">
        <v>16</v>
      </c>
      <c r="G253" t="s">
        <v>62</v>
      </c>
      <c r="H253">
        <v>38</v>
      </c>
      <c r="I253">
        <v>1520</v>
      </c>
      <c r="J253" t="s">
        <v>929</v>
      </c>
      <c r="K253" s="17">
        <v>13.3</v>
      </c>
      <c r="L253" s="3">
        <f t="shared" si="4"/>
        <v>0</v>
      </c>
      <c r="N253" t="s">
        <v>930</v>
      </c>
      <c r="O253" t="s">
        <v>550</v>
      </c>
      <c r="P253">
        <v>0.59499999999999997</v>
      </c>
    </row>
    <row r="254" spans="1:16" x14ac:dyDescent="0.35">
      <c r="A254" s="5" t="str">
        <f>HYPERLINK("https://tienda.tarracoimportexport.com/index.php?id_product=10442&amp;controller=product&amp;id_lang=4", "TR011428")</f>
        <v>TR011428</v>
      </c>
      <c r="B254" t="s">
        <v>931</v>
      </c>
      <c r="D254" s="4">
        <v>7170</v>
      </c>
      <c r="E254" t="s">
        <v>932</v>
      </c>
      <c r="F254" t="s">
        <v>16</v>
      </c>
      <c r="G254" t="s">
        <v>39</v>
      </c>
      <c r="H254">
        <v>31</v>
      </c>
      <c r="I254">
        <v>744</v>
      </c>
      <c r="J254" t="s">
        <v>933</v>
      </c>
      <c r="K254" s="17">
        <v>10.95</v>
      </c>
      <c r="L254" s="3">
        <f t="shared" si="4"/>
        <v>0</v>
      </c>
      <c r="N254" t="s">
        <v>934</v>
      </c>
      <c r="O254" t="s">
        <v>42</v>
      </c>
      <c r="P254">
        <v>2.31</v>
      </c>
    </row>
    <row r="255" spans="1:16" x14ac:dyDescent="0.35">
      <c r="A255" s="5" t="str">
        <f>HYPERLINK("https://tienda.tarracoimportexport.com/index.php?id_product=10443&amp;controller=product&amp;id_lang=4", "TR011429")</f>
        <v>TR011429</v>
      </c>
      <c r="B255" t="s">
        <v>935</v>
      </c>
      <c r="D255" s="4">
        <v>4356</v>
      </c>
      <c r="E255" t="s">
        <v>936</v>
      </c>
      <c r="F255" t="s">
        <v>16</v>
      </c>
      <c r="G255" t="s">
        <v>39</v>
      </c>
      <c r="H255">
        <v>31</v>
      </c>
      <c r="I255">
        <v>744</v>
      </c>
      <c r="J255" t="s">
        <v>933</v>
      </c>
      <c r="K255" s="17">
        <v>15.9</v>
      </c>
      <c r="L255" s="3">
        <f t="shared" si="4"/>
        <v>0</v>
      </c>
      <c r="N255" t="s">
        <v>937</v>
      </c>
      <c r="O255" t="s">
        <v>938</v>
      </c>
      <c r="P255">
        <v>2.395</v>
      </c>
    </row>
    <row r="256" spans="1:16" x14ac:dyDescent="0.35">
      <c r="A256" s="5" t="str">
        <f>HYPERLINK("https://tienda.tarracoimportexport.com/index.php?id_product=10773&amp;controller=product&amp;id_lang=4", "TR011728")</f>
        <v>TR011728</v>
      </c>
      <c r="B256" t="s">
        <v>939</v>
      </c>
      <c r="D256" s="4">
        <v>6960</v>
      </c>
      <c r="E256" t="s">
        <v>940</v>
      </c>
      <c r="F256" t="s">
        <v>16</v>
      </c>
      <c r="G256" t="s">
        <v>27</v>
      </c>
      <c r="H256">
        <v>59</v>
      </c>
      <c r="I256">
        <v>5310</v>
      </c>
      <c r="J256" t="s">
        <v>572</v>
      </c>
      <c r="K256" s="17">
        <v>5.79</v>
      </c>
      <c r="L256" s="3">
        <f t="shared" si="4"/>
        <v>0</v>
      </c>
      <c r="N256" t="s">
        <v>941</v>
      </c>
      <c r="O256" t="s">
        <v>942</v>
      </c>
      <c r="P256">
        <v>0.34499999999999997</v>
      </c>
    </row>
    <row r="257" spans="1:16" x14ac:dyDescent="0.35">
      <c r="A257" s="5" t="str">
        <f>HYPERLINK("https://tienda.tarracoimportexport.com/index.php?id_product=10598&amp;controller=product&amp;id_lang=4", "TR011574")</f>
        <v>TR011574</v>
      </c>
      <c r="B257" t="s">
        <v>943</v>
      </c>
      <c r="D257" s="4">
        <v>3970</v>
      </c>
      <c r="E257" t="s">
        <v>944</v>
      </c>
      <c r="F257" t="s">
        <v>16</v>
      </c>
      <c r="G257" t="s">
        <v>27</v>
      </c>
      <c r="H257">
        <v>30</v>
      </c>
      <c r="I257">
        <v>2100</v>
      </c>
      <c r="J257" t="s">
        <v>945</v>
      </c>
      <c r="K257" s="17">
        <v>9.59</v>
      </c>
      <c r="L257" s="3">
        <f t="shared" si="4"/>
        <v>0</v>
      </c>
      <c r="N257" t="s">
        <v>946</v>
      </c>
      <c r="O257" t="s">
        <v>947</v>
      </c>
      <c r="P257">
        <v>0.59</v>
      </c>
    </row>
    <row r="258" spans="1:16" x14ac:dyDescent="0.35">
      <c r="A258" s="5" t="str">
        <f>HYPERLINK("https://tienda.tarracoimportexport.com/index.php?id_product=10823&amp;controller=product&amp;id_lang=4", "TR011770")</f>
        <v>TR011770</v>
      </c>
      <c r="B258" t="s">
        <v>948</v>
      </c>
      <c r="D258" s="4">
        <v>3420</v>
      </c>
      <c r="E258" t="s">
        <v>949</v>
      </c>
      <c r="F258" t="s">
        <v>16</v>
      </c>
      <c r="G258" t="s">
        <v>362</v>
      </c>
      <c r="H258">
        <v>22</v>
      </c>
      <c r="I258">
        <v>3300</v>
      </c>
      <c r="J258" t="s">
        <v>950</v>
      </c>
      <c r="K258" s="17">
        <v>6.05</v>
      </c>
      <c r="L258" s="3">
        <f t="shared" si="4"/>
        <v>0</v>
      </c>
      <c r="N258" t="s">
        <v>951</v>
      </c>
      <c r="O258" t="s">
        <v>952</v>
      </c>
      <c r="P258">
        <v>1.2949999999999999</v>
      </c>
    </row>
    <row r="259" spans="1:16" x14ac:dyDescent="0.35">
      <c r="A259" s="5" t="str">
        <f>HYPERLINK("https://tienda.tarracoimportexport.com/index.php?id_product=3691&amp;controller=product&amp;id_lang=4", "TR005068")</f>
        <v>TR005068</v>
      </c>
      <c r="B259" t="s">
        <v>953</v>
      </c>
      <c r="D259" s="4">
        <v>50400</v>
      </c>
      <c r="E259" t="s">
        <v>954</v>
      </c>
      <c r="F259" t="s">
        <v>16</v>
      </c>
      <c r="G259" t="s">
        <v>955</v>
      </c>
      <c r="H259">
        <v>6</v>
      </c>
      <c r="I259">
        <v>24000</v>
      </c>
      <c r="J259" t="s">
        <v>516</v>
      </c>
      <c r="K259" s="17">
        <v>0.48</v>
      </c>
      <c r="L259" s="3">
        <f t="shared" si="4"/>
        <v>0</v>
      </c>
      <c r="N259" t="s">
        <v>956</v>
      </c>
      <c r="O259" t="s">
        <v>957</v>
      </c>
      <c r="P259">
        <v>5.05</v>
      </c>
    </row>
    <row r="260" spans="1:16" x14ac:dyDescent="0.35">
      <c r="A260" s="5" t="str">
        <f>HYPERLINK("https://tienda.tarracoimportexport.com/index.php?id_product=3708&amp;controller=product&amp;id_lang=4", "TR005084")</f>
        <v>TR005084</v>
      </c>
      <c r="B260" t="s">
        <v>958</v>
      </c>
      <c r="D260" s="4">
        <v>180</v>
      </c>
      <c r="E260" t="s">
        <v>954</v>
      </c>
      <c r="F260" t="s">
        <v>16</v>
      </c>
      <c r="G260" t="s">
        <v>27</v>
      </c>
      <c r="H260">
        <v>240</v>
      </c>
      <c r="I260">
        <v>14400</v>
      </c>
      <c r="J260" t="s">
        <v>959</v>
      </c>
      <c r="K260" s="17">
        <v>0.48</v>
      </c>
      <c r="L260" s="3">
        <f t="shared" si="4"/>
        <v>0</v>
      </c>
      <c r="N260" t="s">
        <v>960</v>
      </c>
      <c r="O260" t="s">
        <v>957</v>
      </c>
      <c r="P260">
        <v>8.5000000000000006E-2</v>
      </c>
    </row>
    <row r="261" spans="1:16" x14ac:dyDescent="0.35">
      <c r="A261" s="5" t="str">
        <f>HYPERLINK("https://tienda.tarracoimportexport.com/index.php?id_product=10503&amp;controller=product&amp;id_lang=4", "TR011481")</f>
        <v>TR011481</v>
      </c>
      <c r="B261" t="s">
        <v>961</v>
      </c>
      <c r="D261" s="4">
        <v>4488</v>
      </c>
      <c r="E261" t="s">
        <v>962</v>
      </c>
      <c r="F261" t="s">
        <v>105</v>
      </c>
      <c r="G261" t="s">
        <v>39</v>
      </c>
      <c r="H261">
        <v>49</v>
      </c>
      <c r="I261">
        <v>2352</v>
      </c>
      <c r="J261" t="s">
        <v>963</v>
      </c>
      <c r="K261" s="17">
        <v>1.75</v>
      </c>
      <c r="L261" s="3">
        <f t="shared" si="4"/>
        <v>0</v>
      </c>
      <c r="N261" t="s">
        <v>964</v>
      </c>
      <c r="O261" t="s">
        <v>65</v>
      </c>
      <c r="P261">
        <v>1.47</v>
      </c>
    </row>
    <row r="262" spans="1:16" x14ac:dyDescent="0.35">
      <c r="A262" s="5" t="str">
        <f>HYPERLINK("https://tienda.tarracoimportexport.com/index.php?id_product=3158&amp;controller=product&amp;id_lang=4", "TR004612")</f>
        <v>TR004612</v>
      </c>
      <c r="B262" t="s">
        <v>965</v>
      </c>
      <c r="D262" s="4">
        <v>1464</v>
      </c>
      <c r="E262" t="s">
        <v>966</v>
      </c>
      <c r="F262" t="s">
        <v>967</v>
      </c>
      <c r="G262" t="s">
        <v>39</v>
      </c>
      <c r="H262">
        <v>62</v>
      </c>
      <c r="I262">
        <v>2604</v>
      </c>
      <c r="J262" t="s">
        <v>924</v>
      </c>
      <c r="K262" s="17">
        <v>1.55</v>
      </c>
      <c r="L262" s="3">
        <f t="shared" si="4"/>
        <v>0</v>
      </c>
      <c r="N262" t="s">
        <v>968</v>
      </c>
      <c r="O262" t="s">
        <v>969</v>
      </c>
      <c r="P262">
        <v>1.4950000000000001</v>
      </c>
    </row>
    <row r="263" spans="1:16" x14ac:dyDescent="0.35">
      <c r="A263" s="5" t="str">
        <f>HYPERLINK("https://tienda.tarracoimportexport.com/index.php?id_product=1826&amp;controller=product&amp;id_lang=4", "TR000057")</f>
        <v>TR000057</v>
      </c>
      <c r="B263" t="s">
        <v>970</v>
      </c>
      <c r="D263" s="4">
        <v>6636</v>
      </c>
      <c r="E263" t="s">
        <v>971</v>
      </c>
      <c r="F263" t="s">
        <v>972</v>
      </c>
      <c r="G263" t="s">
        <v>39</v>
      </c>
      <c r="H263">
        <v>62</v>
      </c>
      <c r="I263">
        <v>2976</v>
      </c>
      <c r="J263" t="s">
        <v>973</v>
      </c>
      <c r="K263" s="17">
        <v>1.1599999999999999</v>
      </c>
      <c r="L263" s="3">
        <f t="shared" si="4"/>
        <v>0</v>
      </c>
      <c r="N263" t="s">
        <v>974</v>
      </c>
      <c r="O263" t="s">
        <v>975</v>
      </c>
      <c r="P263">
        <v>1.44</v>
      </c>
    </row>
    <row r="264" spans="1:16" x14ac:dyDescent="0.35">
      <c r="A264" s="5" t="str">
        <f>HYPERLINK("https://tienda.tarracoimportexport.com/index.php?id_product=74&amp;controller=product&amp;id_lang=4", "TR000058")</f>
        <v>TR000058</v>
      </c>
      <c r="B264" t="s">
        <v>976</v>
      </c>
      <c r="D264" s="4">
        <v>8190</v>
      </c>
      <c r="E264" t="s">
        <v>977</v>
      </c>
      <c r="F264" t="s">
        <v>972</v>
      </c>
      <c r="G264" t="s">
        <v>39</v>
      </c>
      <c r="H264">
        <v>62</v>
      </c>
      <c r="I264">
        <v>2976</v>
      </c>
      <c r="J264" t="s">
        <v>973</v>
      </c>
      <c r="K264" s="17">
        <v>1.1599999999999999</v>
      </c>
      <c r="L264" s="3">
        <f t="shared" si="4"/>
        <v>0</v>
      </c>
      <c r="N264" t="s">
        <v>978</v>
      </c>
      <c r="O264" t="s">
        <v>979</v>
      </c>
      <c r="P264">
        <v>1.6</v>
      </c>
    </row>
    <row r="265" spans="1:16" x14ac:dyDescent="0.35">
      <c r="A265" s="5" t="str">
        <f>HYPERLINK("https://tienda.tarracoimportexport.com/index.php?id_product=7388&amp;controller=product&amp;id_lang=4", "TR008568")</f>
        <v>TR008568</v>
      </c>
      <c r="B265" t="s">
        <v>980</v>
      </c>
      <c r="D265" s="4">
        <v>2064</v>
      </c>
      <c r="E265" t="s">
        <v>981</v>
      </c>
      <c r="F265" t="s">
        <v>982</v>
      </c>
      <c r="G265" t="s">
        <v>39</v>
      </c>
      <c r="H265">
        <v>84</v>
      </c>
      <c r="I265">
        <v>4536</v>
      </c>
      <c r="J265" t="s">
        <v>983</v>
      </c>
      <c r="K265" s="17">
        <v>1.77</v>
      </c>
      <c r="L265" s="3">
        <f t="shared" si="4"/>
        <v>0</v>
      </c>
      <c r="N265" t="s">
        <v>984</v>
      </c>
      <c r="O265" t="s">
        <v>985</v>
      </c>
      <c r="P265">
        <v>0.85</v>
      </c>
    </row>
    <row r="266" spans="1:16" x14ac:dyDescent="0.35">
      <c r="A266" s="5" t="str">
        <f>HYPERLINK("https://tienda.tarracoimportexport.com/index.php?id_product=5695&amp;controller=product&amp;id_lang=4", "TR006881")</f>
        <v>TR006881</v>
      </c>
      <c r="B266" t="s">
        <v>986</v>
      </c>
      <c r="D266" s="4">
        <v>4440</v>
      </c>
      <c r="E266" t="s">
        <v>987</v>
      </c>
      <c r="F266" t="s">
        <v>757</v>
      </c>
      <c r="G266" t="s">
        <v>39</v>
      </c>
      <c r="H266">
        <v>84</v>
      </c>
      <c r="I266">
        <v>4536</v>
      </c>
      <c r="J266" t="s">
        <v>983</v>
      </c>
      <c r="K266" s="17">
        <v>1.77</v>
      </c>
      <c r="L266" s="3">
        <f t="shared" si="4"/>
        <v>0</v>
      </c>
      <c r="N266" t="s">
        <v>988</v>
      </c>
      <c r="O266" t="s">
        <v>989</v>
      </c>
      <c r="P266">
        <v>0.82499999999999996</v>
      </c>
    </row>
    <row r="267" spans="1:16" x14ac:dyDescent="0.35">
      <c r="A267" s="5" t="str">
        <f>HYPERLINK("https://tienda.tarracoimportexport.com/index.php?id_product=5697&amp;controller=product&amp;id_lang=4", "TR006882")</f>
        <v>TR006882</v>
      </c>
      <c r="B267" t="s">
        <v>990</v>
      </c>
      <c r="D267" s="4">
        <v>2892</v>
      </c>
      <c r="E267" t="s">
        <v>991</v>
      </c>
      <c r="F267" t="s">
        <v>718</v>
      </c>
      <c r="G267" t="s">
        <v>39</v>
      </c>
      <c r="H267">
        <v>84</v>
      </c>
      <c r="I267">
        <v>4536</v>
      </c>
      <c r="J267" t="s">
        <v>983</v>
      </c>
      <c r="K267" s="17">
        <v>1.77</v>
      </c>
      <c r="L267" s="3">
        <f t="shared" si="4"/>
        <v>0</v>
      </c>
      <c r="N267" t="s">
        <v>992</v>
      </c>
      <c r="O267" t="s">
        <v>993</v>
      </c>
      <c r="P267">
        <v>0.81499999999999995</v>
      </c>
    </row>
    <row r="268" spans="1:16" x14ac:dyDescent="0.35">
      <c r="A268" s="5" t="str">
        <f>HYPERLINK("https://tienda.tarracoimportexport.com/index.php?id_product=10937&amp;controller=product&amp;id_lang=4", "TR011883")</f>
        <v>TR011883</v>
      </c>
      <c r="B268" t="s">
        <v>994</v>
      </c>
      <c r="D268" s="4">
        <v>6630</v>
      </c>
      <c r="E268" t="s">
        <v>995</v>
      </c>
      <c r="F268" t="s">
        <v>16</v>
      </c>
      <c r="G268" t="s">
        <v>39</v>
      </c>
      <c r="H268">
        <v>25</v>
      </c>
      <c r="I268">
        <v>600</v>
      </c>
      <c r="J268" t="s">
        <v>996</v>
      </c>
      <c r="K268" s="17">
        <v>4.05</v>
      </c>
      <c r="L268" s="3">
        <f t="shared" si="4"/>
        <v>0</v>
      </c>
      <c r="N268" t="s">
        <v>997</v>
      </c>
      <c r="O268" t="s">
        <v>998</v>
      </c>
      <c r="P268">
        <v>0.81</v>
      </c>
    </row>
    <row r="269" spans="1:16" x14ac:dyDescent="0.35">
      <c r="A269" s="5" t="str">
        <f>HYPERLINK("https://tienda.tarracoimportexport.com/index.php?id_product=10484&amp;controller=product&amp;id_lang=4", "TR011468")</f>
        <v>TR011468</v>
      </c>
      <c r="B269" t="s">
        <v>999</v>
      </c>
      <c r="D269" s="4">
        <v>40</v>
      </c>
      <c r="E269" t="s">
        <v>1000</v>
      </c>
      <c r="F269" t="s">
        <v>16</v>
      </c>
      <c r="G269" t="s">
        <v>17</v>
      </c>
      <c r="H269">
        <v>10</v>
      </c>
      <c r="I269">
        <v>1000</v>
      </c>
      <c r="J269" t="s">
        <v>327</v>
      </c>
      <c r="K269" s="17">
        <v>9.35</v>
      </c>
      <c r="L269" s="3">
        <f t="shared" si="4"/>
        <v>0</v>
      </c>
      <c r="N269" t="s">
        <v>1001</v>
      </c>
      <c r="O269" t="s">
        <v>1002</v>
      </c>
      <c r="P269">
        <v>3</v>
      </c>
    </row>
    <row r="270" spans="1:16" x14ac:dyDescent="0.35">
      <c r="A270" s="5" t="str">
        <f>HYPERLINK("https://tienda.tarracoimportexport.com/index.php?id_product=9234&amp;controller=product&amp;id_lang=4", "TR010309")</f>
        <v>TR010309</v>
      </c>
      <c r="B270" t="s">
        <v>1003</v>
      </c>
      <c r="D270" s="4">
        <v>486</v>
      </c>
      <c r="E270" t="s">
        <v>1004</v>
      </c>
      <c r="F270" t="s">
        <v>16</v>
      </c>
      <c r="G270" t="s">
        <v>39</v>
      </c>
      <c r="H270">
        <v>53</v>
      </c>
      <c r="I270">
        <v>2226</v>
      </c>
      <c r="J270" t="s">
        <v>1005</v>
      </c>
      <c r="K270" s="17">
        <v>1.05</v>
      </c>
      <c r="L270" s="3">
        <f t="shared" si="4"/>
        <v>0</v>
      </c>
      <c r="N270" t="s">
        <v>1006</v>
      </c>
      <c r="O270" t="s">
        <v>1007</v>
      </c>
      <c r="P270">
        <v>1.38</v>
      </c>
    </row>
    <row r="271" spans="1:16" x14ac:dyDescent="0.35">
      <c r="A271" s="5" t="str">
        <f>HYPERLINK("https://tienda.tarracoimportexport.com/index.php?id_product=9233&amp;controller=product&amp;id_lang=4", "TR010308")</f>
        <v>TR010308</v>
      </c>
      <c r="B271" t="s">
        <v>1008</v>
      </c>
      <c r="D271" s="4">
        <v>468</v>
      </c>
      <c r="E271" t="s">
        <v>1009</v>
      </c>
      <c r="F271" t="s">
        <v>16</v>
      </c>
      <c r="G271" t="s">
        <v>50</v>
      </c>
      <c r="H271">
        <v>19</v>
      </c>
      <c r="I271">
        <v>2736</v>
      </c>
      <c r="J271" t="s">
        <v>81</v>
      </c>
      <c r="K271" s="17">
        <v>1.05</v>
      </c>
      <c r="L271" s="3">
        <f t="shared" si="4"/>
        <v>0</v>
      </c>
      <c r="N271" t="s">
        <v>1010</v>
      </c>
      <c r="O271" t="s">
        <v>1007</v>
      </c>
      <c r="P271">
        <v>1.7749999999999999</v>
      </c>
    </row>
    <row r="272" spans="1:16" x14ac:dyDescent="0.35">
      <c r="A272" s="5" t="str">
        <f>HYPERLINK("https://tienda.tarracoimportexport.com/index.php?id_product=5427&amp;controller=product&amp;id_lang=4", "TR006654")</f>
        <v>TR006654</v>
      </c>
      <c r="B272" t="s">
        <v>1011</v>
      </c>
      <c r="D272" s="4">
        <v>7584</v>
      </c>
      <c r="E272" t="s">
        <v>1012</v>
      </c>
      <c r="F272" t="s">
        <v>16</v>
      </c>
      <c r="G272" t="s">
        <v>39</v>
      </c>
      <c r="H272">
        <v>86</v>
      </c>
      <c r="I272">
        <v>1548</v>
      </c>
      <c r="J272" t="s">
        <v>1013</v>
      </c>
      <c r="K272" s="17">
        <v>1.64</v>
      </c>
      <c r="L272" s="3">
        <f t="shared" si="4"/>
        <v>0</v>
      </c>
      <c r="N272" t="s">
        <v>1014</v>
      </c>
      <c r="O272" t="s">
        <v>71</v>
      </c>
      <c r="P272">
        <v>1.75</v>
      </c>
    </row>
    <row r="273" spans="1:16" x14ac:dyDescent="0.35">
      <c r="A273" s="5" t="str">
        <f>HYPERLINK("https://tienda.tarracoimportexport.com/index.php?id_product=10171&amp;controller=product&amp;id_lang=4", "TR011205")</f>
        <v>TR011205</v>
      </c>
      <c r="B273" t="s">
        <v>1015</v>
      </c>
      <c r="D273" s="4">
        <v>11544</v>
      </c>
      <c r="E273" t="s">
        <v>1016</v>
      </c>
      <c r="F273" t="s">
        <v>16</v>
      </c>
      <c r="G273" t="s">
        <v>39</v>
      </c>
      <c r="H273">
        <v>65</v>
      </c>
      <c r="I273">
        <v>1560</v>
      </c>
      <c r="J273" t="s">
        <v>881</v>
      </c>
      <c r="K273" s="17">
        <v>1.64</v>
      </c>
      <c r="L273" s="3">
        <f t="shared" si="4"/>
        <v>0</v>
      </c>
      <c r="N273" t="s">
        <v>1017</v>
      </c>
      <c r="O273" t="s">
        <v>42</v>
      </c>
      <c r="P273">
        <v>1.73</v>
      </c>
    </row>
    <row r="274" spans="1:16" x14ac:dyDescent="0.35">
      <c r="A274" s="5" t="str">
        <f>HYPERLINK("https://tienda.tarracoimportexport.com/index.php?id_product=5428&amp;controller=product&amp;id_lang=4", "TR006655")</f>
        <v>TR006655</v>
      </c>
      <c r="B274" t="s">
        <v>1015</v>
      </c>
      <c r="D274" s="4">
        <v>7302</v>
      </c>
      <c r="E274" t="s">
        <v>1018</v>
      </c>
      <c r="F274" t="s">
        <v>16</v>
      </c>
      <c r="G274" t="s">
        <v>39</v>
      </c>
      <c r="H274">
        <v>86</v>
      </c>
      <c r="I274">
        <v>1548</v>
      </c>
      <c r="J274" t="s">
        <v>1013</v>
      </c>
      <c r="K274" s="17">
        <v>1.64</v>
      </c>
      <c r="L274" s="3">
        <f t="shared" si="4"/>
        <v>0</v>
      </c>
      <c r="N274" t="s">
        <v>1019</v>
      </c>
      <c r="O274" t="s">
        <v>71</v>
      </c>
      <c r="P274">
        <v>1.74</v>
      </c>
    </row>
    <row r="275" spans="1:16" x14ac:dyDescent="0.35">
      <c r="A275" s="5" t="str">
        <f>HYPERLINK("https://tienda.tarracoimportexport.com/index.php?id_product=5429&amp;controller=product&amp;id_lang=4", "TR006656")</f>
        <v>TR006656</v>
      </c>
      <c r="B275" t="s">
        <v>1020</v>
      </c>
      <c r="D275" s="4">
        <v>6918</v>
      </c>
      <c r="E275" t="s">
        <v>1021</v>
      </c>
      <c r="F275" t="s">
        <v>16</v>
      </c>
      <c r="G275" t="s">
        <v>39</v>
      </c>
      <c r="H275">
        <v>86</v>
      </c>
      <c r="I275">
        <v>1548</v>
      </c>
      <c r="J275" t="s">
        <v>1013</v>
      </c>
      <c r="K275" s="17">
        <v>1.64</v>
      </c>
      <c r="L275" s="3">
        <f t="shared" si="4"/>
        <v>0</v>
      </c>
      <c r="N275" t="s">
        <v>1022</v>
      </c>
      <c r="O275" t="s">
        <v>71</v>
      </c>
      <c r="P275">
        <v>1.74</v>
      </c>
    </row>
    <row r="276" spans="1:16" x14ac:dyDescent="0.35">
      <c r="A276" s="5" t="str">
        <f>HYPERLINK("https://tienda.tarracoimportexport.com/index.php?id_product=5453&amp;controller=product&amp;id_lang=4", "TR006679")</f>
        <v>TR006679</v>
      </c>
      <c r="B276" t="s">
        <v>1023</v>
      </c>
      <c r="D276" s="4">
        <v>5340</v>
      </c>
      <c r="E276" t="s">
        <v>1024</v>
      </c>
      <c r="F276" t="s">
        <v>16</v>
      </c>
      <c r="G276" t="s">
        <v>39</v>
      </c>
      <c r="H276">
        <v>86</v>
      </c>
      <c r="I276">
        <v>1548</v>
      </c>
      <c r="J276" t="s">
        <v>1013</v>
      </c>
      <c r="K276" s="17">
        <v>1.64</v>
      </c>
      <c r="L276" s="3">
        <f t="shared" si="4"/>
        <v>0</v>
      </c>
      <c r="N276" t="s">
        <v>1025</v>
      </c>
      <c r="O276" t="s">
        <v>71</v>
      </c>
      <c r="P276">
        <v>1.74</v>
      </c>
    </row>
    <row r="277" spans="1:16" x14ac:dyDescent="0.35">
      <c r="A277" s="5" t="str">
        <f>HYPERLINK("https://tienda.tarracoimportexport.com/index.php?id_product=5452&amp;controller=product&amp;id_lang=4", "TR006678")</f>
        <v>TR006678</v>
      </c>
      <c r="B277" t="s">
        <v>1026</v>
      </c>
      <c r="D277" s="4">
        <v>2724</v>
      </c>
      <c r="E277" t="s">
        <v>1027</v>
      </c>
      <c r="F277" t="s">
        <v>16</v>
      </c>
      <c r="G277" t="s">
        <v>39</v>
      </c>
      <c r="H277">
        <v>86</v>
      </c>
      <c r="I277">
        <v>1548</v>
      </c>
      <c r="J277" t="s">
        <v>1013</v>
      </c>
      <c r="K277" s="17">
        <v>1.64</v>
      </c>
      <c r="L277" s="3">
        <f t="shared" si="4"/>
        <v>0</v>
      </c>
      <c r="N277" t="s">
        <v>1028</v>
      </c>
      <c r="O277" t="s">
        <v>71</v>
      </c>
      <c r="P277">
        <v>1.74</v>
      </c>
    </row>
    <row r="278" spans="1:16" x14ac:dyDescent="0.35">
      <c r="A278" s="5" t="str">
        <f>HYPERLINK("https://tienda.tarracoimportexport.com/index.php?id_product=10172&amp;controller=product&amp;id_lang=4", "TR011206")</f>
        <v>TR011206</v>
      </c>
      <c r="B278" t="s">
        <v>1029</v>
      </c>
      <c r="D278" s="4">
        <v>10362</v>
      </c>
      <c r="E278" t="s">
        <v>1030</v>
      </c>
      <c r="F278" t="s">
        <v>16</v>
      </c>
      <c r="G278" t="s">
        <v>39</v>
      </c>
      <c r="H278">
        <v>65</v>
      </c>
      <c r="I278">
        <v>1560</v>
      </c>
      <c r="J278" t="s">
        <v>881</v>
      </c>
      <c r="K278" s="17">
        <v>1.64</v>
      </c>
      <c r="L278" s="3">
        <f t="shared" si="4"/>
        <v>0</v>
      </c>
      <c r="N278" t="s">
        <v>1031</v>
      </c>
      <c r="O278" t="s">
        <v>42</v>
      </c>
      <c r="P278">
        <v>1.72</v>
      </c>
    </row>
    <row r="279" spans="1:16" x14ac:dyDescent="0.35">
      <c r="A279" s="5" t="str">
        <f>HYPERLINK("https://tienda.tarracoimportexport.com/index.php?id_product=10173&amp;controller=product&amp;id_lang=4", "TR011207")</f>
        <v>TR011207</v>
      </c>
      <c r="B279" t="s">
        <v>1032</v>
      </c>
      <c r="D279" s="4">
        <v>7548</v>
      </c>
      <c r="E279" t="s">
        <v>1033</v>
      </c>
      <c r="F279" t="s">
        <v>16</v>
      </c>
      <c r="G279" t="s">
        <v>39</v>
      </c>
      <c r="H279">
        <v>54</v>
      </c>
      <c r="I279">
        <v>1296</v>
      </c>
      <c r="J279" t="s">
        <v>57</v>
      </c>
      <c r="K279" s="17">
        <v>1.88</v>
      </c>
      <c r="L279" s="3">
        <f t="shared" si="4"/>
        <v>0</v>
      </c>
      <c r="N279" t="s">
        <v>1034</v>
      </c>
      <c r="O279" t="s">
        <v>42</v>
      </c>
      <c r="P279">
        <v>2.06</v>
      </c>
    </row>
    <row r="280" spans="1:16" x14ac:dyDescent="0.35">
      <c r="A280" s="5" t="str">
        <f>HYPERLINK("https://tienda.tarracoimportexport.com/index.php?id_product=10177&amp;controller=product&amp;id_lang=4", "TR011211")</f>
        <v>TR011211</v>
      </c>
      <c r="B280" t="s">
        <v>1035</v>
      </c>
      <c r="D280" s="4">
        <v>1512</v>
      </c>
      <c r="E280" t="s">
        <v>1036</v>
      </c>
      <c r="F280" t="s">
        <v>16</v>
      </c>
      <c r="G280" t="s">
        <v>39</v>
      </c>
      <c r="H280">
        <v>54</v>
      </c>
      <c r="I280">
        <v>1296</v>
      </c>
      <c r="J280" t="s">
        <v>57</v>
      </c>
      <c r="K280" s="17">
        <v>1.88</v>
      </c>
      <c r="L280" s="3">
        <f t="shared" si="4"/>
        <v>0</v>
      </c>
      <c r="N280" t="s">
        <v>1037</v>
      </c>
      <c r="O280" t="s">
        <v>42</v>
      </c>
      <c r="P280">
        <v>2.0499999999999998</v>
      </c>
    </row>
    <row r="281" spans="1:16" x14ac:dyDescent="0.35">
      <c r="A281" s="5" t="str">
        <f>HYPERLINK("https://tienda.tarracoimportexport.com/index.php?id_product=10176&amp;controller=product&amp;id_lang=4", "TR011210")</f>
        <v>TR011210</v>
      </c>
      <c r="B281" t="s">
        <v>1038</v>
      </c>
      <c r="D281" s="4">
        <v>6246</v>
      </c>
      <c r="E281" t="s">
        <v>1039</v>
      </c>
      <c r="F281" t="s">
        <v>16</v>
      </c>
      <c r="G281" t="s">
        <v>39</v>
      </c>
      <c r="H281">
        <v>54</v>
      </c>
      <c r="I281">
        <v>1296</v>
      </c>
      <c r="J281" t="s">
        <v>57</v>
      </c>
      <c r="K281" s="17">
        <v>1.88</v>
      </c>
      <c r="L281" s="3">
        <f t="shared" si="4"/>
        <v>0</v>
      </c>
      <c r="N281" t="s">
        <v>1040</v>
      </c>
      <c r="O281" t="s">
        <v>42</v>
      </c>
      <c r="P281">
        <v>2.1</v>
      </c>
    </row>
    <row r="282" spans="1:16" x14ac:dyDescent="0.35">
      <c r="A282" s="5" t="str">
        <f>HYPERLINK("https://tienda.tarracoimportexport.com/index.php?id_product=10989&amp;controller=product&amp;id_lang=4", "TR011929")</f>
        <v>TR011929</v>
      </c>
      <c r="B282" t="s">
        <v>1041</v>
      </c>
      <c r="D282" s="4">
        <v>1308</v>
      </c>
      <c r="E282" t="s">
        <v>1042</v>
      </c>
      <c r="F282" t="s">
        <v>16</v>
      </c>
      <c r="G282" t="s">
        <v>39</v>
      </c>
      <c r="H282">
        <v>71</v>
      </c>
      <c r="I282">
        <v>1278</v>
      </c>
      <c r="J282" t="s">
        <v>1043</v>
      </c>
      <c r="K282" s="17">
        <v>1.99</v>
      </c>
      <c r="L282" s="3">
        <f t="shared" si="4"/>
        <v>0</v>
      </c>
      <c r="N282" t="s">
        <v>1044</v>
      </c>
      <c r="O282" t="s">
        <v>71</v>
      </c>
      <c r="P282">
        <v>2.2650000000000001</v>
      </c>
    </row>
    <row r="283" spans="1:16" x14ac:dyDescent="0.35">
      <c r="A283" s="5" t="str">
        <f>HYPERLINK("https://tienda.tarracoimportexport.com/index.php?id_product=9510&amp;controller=product&amp;id_lang=4", "TR010575")</f>
        <v>TR010575</v>
      </c>
      <c r="B283" t="s">
        <v>1045</v>
      </c>
      <c r="D283" s="4">
        <v>1158</v>
      </c>
      <c r="E283" t="s">
        <v>1046</v>
      </c>
      <c r="F283" t="s">
        <v>16</v>
      </c>
      <c r="G283" t="s">
        <v>39</v>
      </c>
      <c r="H283">
        <v>73</v>
      </c>
      <c r="I283">
        <v>1314</v>
      </c>
      <c r="J283" t="s">
        <v>1047</v>
      </c>
      <c r="K283" s="17">
        <v>1.99</v>
      </c>
      <c r="L283" s="3">
        <f t="shared" si="4"/>
        <v>0</v>
      </c>
      <c r="N283" t="s">
        <v>1048</v>
      </c>
      <c r="O283" t="s">
        <v>71</v>
      </c>
      <c r="P283">
        <v>2.27</v>
      </c>
    </row>
    <row r="284" spans="1:16" x14ac:dyDescent="0.35">
      <c r="A284" s="5" t="str">
        <f>HYPERLINK("https://tienda.tarracoimportexport.com/index.php?id_product=10923&amp;controller=product&amp;id_lang=4", "TR011869")</f>
        <v>TR011869</v>
      </c>
      <c r="B284" t="s">
        <v>1049</v>
      </c>
      <c r="D284" s="4">
        <v>828</v>
      </c>
      <c r="E284" t="s">
        <v>1050</v>
      </c>
      <c r="F284" t="s">
        <v>16</v>
      </c>
      <c r="G284" t="s">
        <v>39</v>
      </c>
      <c r="H284">
        <v>73</v>
      </c>
      <c r="I284">
        <v>1314</v>
      </c>
      <c r="J284" t="s">
        <v>1047</v>
      </c>
      <c r="K284" s="17">
        <v>1.99</v>
      </c>
      <c r="L284" s="3">
        <f t="shared" si="4"/>
        <v>0</v>
      </c>
      <c r="N284" t="s">
        <v>1051</v>
      </c>
      <c r="O284" t="s">
        <v>71</v>
      </c>
      <c r="P284">
        <v>2.254</v>
      </c>
    </row>
    <row r="285" spans="1:16" x14ac:dyDescent="0.35">
      <c r="A285" s="5" t="str">
        <f>HYPERLINK("https://tienda.tarracoimportexport.com/index.php?id_product=9513&amp;controller=product&amp;id_lang=4", "TR010578")</f>
        <v>TR010578</v>
      </c>
      <c r="B285" t="s">
        <v>1052</v>
      </c>
      <c r="D285" s="4">
        <v>1074</v>
      </c>
      <c r="E285" t="s">
        <v>1053</v>
      </c>
      <c r="F285" t="s">
        <v>16</v>
      </c>
      <c r="G285" t="s">
        <v>39</v>
      </c>
      <c r="H285">
        <v>68</v>
      </c>
      <c r="I285">
        <v>2040</v>
      </c>
      <c r="J285" t="s">
        <v>1054</v>
      </c>
      <c r="K285" s="17">
        <v>1.99</v>
      </c>
      <c r="L285" s="3">
        <f t="shared" si="4"/>
        <v>0</v>
      </c>
      <c r="N285" t="s">
        <v>1055</v>
      </c>
      <c r="O285" t="s">
        <v>71</v>
      </c>
      <c r="P285">
        <v>2.2799999999999998</v>
      </c>
    </row>
    <row r="286" spans="1:16" x14ac:dyDescent="0.35">
      <c r="A286" s="5" t="str">
        <f>HYPERLINK("https://tienda.tarracoimportexport.com/index.php?id_product=9511&amp;controller=product&amp;id_lang=4", "TR010576")</f>
        <v>TR010576</v>
      </c>
      <c r="B286" t="s">
        <v>1056</v>
      </c>
      <c r="D286" s="4">
        <v>1164</v>
      </c>
      <c r="E286" t="s">
        <v>1057</v>
      </c>
      <c r="F286" t="s">
        <v>16</v>
      </c>
      <c r="G286" t="s">
        <v>39</v>
      </c>
      <c r="H286">
        <v>73</v>
      </c>
      <c r="I286">
        <v>1314</v>
      </c>
      <c r="J286" t="s">
        <v>1047</v>
      </c>
      <c r="K286" s="17">
        <v>1.99</v>
      </c>
      <c r="L286" s="3">
        <f t="shared" si="4"/>
        <v>0</v>
      </c>
      <c r="N286" t="s">
        <v>1058</v>
      </c>
      <c r="O286" t="s">
        <v>71</v>
      </c>
      <c r="P286">
        <v>2.29</v>
      </c>
    </row>
    <row r="287" spans="1:16" x14ac:dyDescent="0.35">
      <c r="A287" s="5" t="str">
        <f>HYPERLINK("https://tienda.tarracoimportexport.com/index.php?id_product=8007&amp;controller=product&amp;id_lang=4", "TR009167")</f>
        <v>TR009167</v>
      </c>
      <c r="B287" t="s">
        <v>1059</v>
      </c>
      <c r="D287" s="4">
        <v>6918</v>
      </c>
      <c r="E287" t="s">
        <v>1060</v>
      </c>
      <c r="F287" t="s">
        <v>16</v>
      </c>
      <c r="G287" t="s">
        <v>39</v>
      </c>
      <c r="H287">
        <v>57</v>
      </c>
      <c r="I287">
        <v>1026</v>
      </c>
      <c r="J287" t="s">
        <v>1061</v>
      </c>
      <c r="K287" s="17">
        <v>2.29</v>
      </c>
      <c r="L287" s="3">
        <f t="shared" si="4"/>
        <v>0</v>
      </c>
      <c r="N287" t="s">
        <v>1062</v>
      </c>
      <c r="O287" t="s">
        <v>71</v>
      </c>
      <c r="P287">
        <v>2.75</v>
      </c>
    </row>
    <row r="288" spans="1:16" x14ac:dyDescent="0.35">
      <c r="A288" s="5" t="str">
        <f>HYPERLINK("https://tienda.tarracoimportexport.com/index.php?id_product=8008&amp;controller=product&amp;id_lang=4", "TR009168")</f>
        <v>TR009168</v>
      </c>
      <c r="B288" t="s">
        <v>1063</v>
      </c>
      <c r="D288" s="4">
        <v>6756</v>
      </c>
      <c r="E288" t="s">
        <v>1064</v>
      </c>
      <c r="F288" t="s">
        <v>16</v>
      </c>
      <c r="G288" t="s">
        <v>39</v>
      </c>
      <c r="H288">
        <v>57</v>
      </c>
      <c r="I288">
        <v>1026</v>
      </c>
      <c r="J288" t="s">
        <v>1061</v>
      </c>
      <c r="K288" s="17">
        <v>2.29</v>
      </c>
      <c r="L288" s="3">
        <f t="shared" si="4"/>
        <v>0</v>
      </c>
      <c r="N288" t="s">
        <v>1065</v>
      </c>
      <c r="O288" t="s">
        <v>71</v>
      </c>
      <c r="P288">
        <v>2.73</v>
      </c>
    </row>
    <row r="289" spans="1:16" x14ac:dyDescent="0.35">
      <c r="A289" s="5" t="str">
        <f>HYPERLINK("https://tienda.tarracoimportexport.com/index.php?id_product=10178&amp;controller=product&amp;id_lang=4", "TR011212")</f>
        <v>TR011212</v>
      </c>
      <c r="B289" t="s">
        <v>1066</v>
      </c>
      <c r="D289" s="4">
        <v>29892</v>
      </c>
      <c r="E289" t="s">
        <v>1067</v>
      </c>
      <c r="F289" t="s">
        <v>16</v>
      </c>
      <c r="G289" t="s">
        <v>39</v>
      </c>
      <c r="H289">
        <v>46</v>
      </c>
      <c r="I289">
        <v>828</v>
      </c>
      <c r="J289" t="s">
        <v>1068</v>
      </c>
      <c r="K289" s="17">
        <v>2.29</v>
      </c>
      <c r="L289" s="3">
        <f t="shared" si="4"/>
        <v>0</v>
      </c>
      <c r="N289" t="s">
        <v>1069</v>
      </c>
      <c r="O289" t="s">
        <v>42</v>
      </c>
      <c r="P289">
        <v>2.7349999999999999</v>
      </c>
    </row>
    <row r="290" spans="1:16" x14ac:dyDescent="0.35">
      <c r="A290" s="5" t="str">
        <f>HYPERLINK("https://tienda.tarracoimportexport.com/index.php?id_product=8009&amp;controller=product&amp;id_lang=4", "TR009169")</f>
        <v>TR009169</v>
      </c>
      <c r="B290" t="s">
        <v>1070</v>
      </c>
      <c r="D290" s="4">
        <v>8754</v>
      </c>
      <c r="E290" t="s">
        <v>1071</v>
      </c>
      <c r="F290" t="s">
        <v>16</v>
      </c>
      <c r="G290" t="s">
        <v>39</v>
      </c>
      <c r="H290">
        <v>57</v>
      </c>
      <c r="I290">
        <v>1026</v>
      </c>
      <c r="J290" t="s">
        <v>1061</v>
      </c>
      <c r="K290" s="17">
        <v>2.29</v>
      </c>
      <c r="L290" s="3">
        <f t="shared" si="4"/>
        <v>0</v>
      </c>
      <c r="N290" t="s">
        <v>1072</v>
      </c>
      <c r="O290" t="s">
        <v>71</v>
      </c>
      <c r="P290">
        <v>2.74</v>
      </c>
    </row>
    <row r="291" spans="1:16" x14ac:dyDescent="0.35">
      <c r="A291" s="5" t="str">
        <f>HYPERLINK("https://tienda.tarracoimportexport.com/index.php?id_product=8010&amp;controller=product&amp;id_lang=4", "TR009170")</f>
        <v>TR009170</v>
      </c>
      <c r="B291" t="s">
        <v>1073</v>
      </c>
      <c r="D291" s="4">
        <v>1932</v>
      </c>
      <c r="E291" t="s">
        <v>1074</v>
      </c>
      <c r="F291" t="s">
        <v>16</v>
      </c>
      <c r="G291" t="s">
        <v>39</v>
      </c>
      <c r="H291">
        <v>57</v>
      </c>
      <c r="I291">
        <v>1026</v>
      </c>
      <c r="J291" t="s">
        <v>1061</v>
      </c>
      <c r="K291" s="17">
        <v>2.29</v>
      </c>
      <c r="L291" s="3">
        <f t="shared" si="4"/>
        <v>0</v>
      </c>
      <c r="N291" t="s">
        <v>1075</v>
      </c>
      <c r="O291" t="s">
        <v>71</v>
      </c>
      <c r="P291">
        <v>2.74</v>
      </c>
    </row>
    <row r="292" spans="1:16" x14ac:dyDescent="0.35">
      <c r="A292" s="5" t="str">
        <f>HYPERLINK("https://tienda.tarracoimportexport.com/index.php?id_product=8011&amp;controller=product&amp;id_lang=4", "TR009171")</f>
        <v>TR009171</v>
      </c>
      <c r="B292" t="s">
        <v>1076</v>
      </c>
      <c r="D292" s="4">
        <v>3870</v>
      </c>
      <c r="E292" t="s">
        <v>1077</v>
      </c>
      <c r="F292" t="s">
        <v>16</v>
      </c>
      <c r="G292" t="s">
        <v>39</v>
      </c>
      <c r="H292">
        <v>57</v>
      </c>
      <c r="I292">
        <v>1026</v>
      </c>
      <c r="J292" t="s">
        <v>1061</v>
      </c>
      <c r="K292" s="17">
        <v>2.29</v>
      </c>
      <c r="L292" s="3">
        <f t="shared" si="4"/>
        <v>0</v>
      </c>
      <c r="N292" t="s">
        <v>1078</v>
      </c>
      <c r="O292" t="s">
        <v>71</v>
      </c>
      <c r="P292">
        <v>2.75</v>
      </c>
    </row>
    <row r="293" spans="1:16" x14ac:dyDescent="0.35">
      <c r="A293" s="5" t="str">
        <f>HYPERLINK("https://tienda.tarracoimportexport.com/index.php?id_product=8012&amp;controller=product&amp;id_lang=4", "TR009172")</f>
        <v>TR009172</v>
      </c>
      <c r="B293" t="s">
        <v>1079</v>
      </c>
      <c r="D293" s="4">
        <v>1182</v>
      </c>
      <c r="E293" t="s">
        <v>1080</v>
      </c>
      <c r="F293" t="s">
        <v>16</v>
      </c>
      <c r="G293" t="s">
        <v>39</v>
      </c>
      <c r="H293">
        <v>57</v>
      </c>
      <c r="I293">
        <v>1026</v>
      </c>
      <c r="J293" t="s">
        <v>1061</v>
      </c>
      <c r="K293" s="17">
        <v>2.29</v>
      </c>
      <c r="L293" s="3">
        <f t="shared" si="4"/>
        <v>0</v>
      </c>
      <c r="N293" t="s">
        <v>1081</v>
      </c>
      <c r="O293" t="s">
        <v>71</v>
      </c>
      <c r="P293">
        <v>2.71</v>
      </c>
    </row>
    <row r="294" spans="1:16" x14ac:dyDescent="0.35">
      <c r="A294" s="5" t="str">
        <f>HYPERLINK("https://tienda.tarracoimportexport.com/index.php?id_product=9318&amp;controller=product&amp;id_lang=4", "TR010391")</f>
        <v>TR010391</v>
      </c>
      <c r="B294" t="s">
        <v>1082</v>
      </c>
      <c r="D294" s="4">
        <v>38532</v>
      </c>
      <c r="E294" t="s">
        <v>1083</v>
      </c>
      <c r="F294" t="s">
        <v>16</v>
      </c>
      <c r="G294" t="s">
        <v>50</v>
      </c>
      <c r="H294">
        <v>19</v>
      </c>
      <c r="I294">
        <v>1368</v>
      </c>
      <c r="J294" t="s">
        <v>352</v>
      </c>
      <c r="K294" s="17">
        <v>1.32</v>
      </c>
      <c r="L294" s="3">
        <f t="shared" si="4"/>
        <v>0</v>
      </c>
      <c r="N294" t="s">
        <v>1084</v>
      </c>
      <c r="O294" t="s">
        <v>354</v>
      </c>
      <c r="P294">
        <v>6.7750000000000004</v>
      </c>
    </row>
    <row r="295" spans="1:16" x14ac:dyDescent="0.35">
      <c r="A295" s="5" t="str">
        <f>HYPERLINK("https://tienda.tarracoimportexport.com/index.php?id_product=9255&amp;controller=product&amp;id_lang=4", "TR010328")</f>
        <v>TR010328</v>
      </c>
      <c r="B295" t="s">
        <v>1085</v>
      </c>
      <c r="D295" s="4">
        <v>1068</v>
      </c>
      <c r="E295" t="s">
        <v>1086</v>
      </c>
      <c r="F295" t="s">
        <v>16</v>
      </c>
      <c r="G295" t="s">
        <v>50</v>
      </c>
      <c r="H295">
        <v>20</v>
      </c>
      <c r="I295">
        <v>1680</v>
      </c>
      <c r="J295" t="s">
        <v>379</v>
      </c>
      <c r="K295" s="17">
        <v>1.88</v>
      </c>
      <c r="L295" s="3">
        <f t="shared" si="4"/>
        <v>0</v>
      </c>
      <c r="N295" t="s">
        <v>1087</v>
      </c>
      <c r="O295" t="s">
        <v>30</v>
      </c>
      <c r="P295">
        <v>2.98</v>
      </c>
    </row>
    <row r="296" spans="1:16" x14ac:dyDescent="0.35">
      <c r="A296" s="5" t="str">
        <f>HYPERLINK("https://tienda.tarracoimportexport.com/index.php?id_product=2373&amp;controller=product&amp;id_lang=4", "TR003872")</f>
        <v>TR003872</v>
      </c>
      <c r="B296" t="s">
        <v>1088</v>
      </c>
      <c r="D296" s="4">
        <v>468</v>
      </c>
      <c r="E296" t="s">
        <v>1089</v>
      </c>
      <c r="F296" t="s">
        <v>16</v>
      </c>
      <c r="G296" t="s">
        <v>50</v>
      </c>
      <c r="H296">
        <v>15</v>
      </c>
      <c r="I296">
        <v>540</v>
      </c>
      <c r="J296" t="s">
        <v>301</v>
      </c>
      <c r="K296" s="17">
        <v>3.15</v>
      </c>
      <c r="L296" s="3">
        <f t="shared" si="4"/>
        <v>0</v>
      </c>
      <c r="N296" t="s">
        <v>1090</v>
      </c>
      <c r="O296" t="s">
        <v>24</v>
      </c>
      <c r="P296">
        <v>9.43</v>
      </c>
    </row>
    <row r="297" spans="1:16" x14ac:dyDescent="0.35">
      <c r="A297" s="5" t="str">
        <f>HYPERLINK("https://tienda.tarracoimportexport.com/index.php?id_product=3048&amp;controller=product&amp;id_lang=4", "TR004505")</f>
        <v>TR004505</v>
      </c>
      <c r="B297" t="s">
        <v>1091</v>
      </c>
      <c r="D297" s="4">
        <v>1572</v>
      </c>
      <c r="E297" t="s">
        <v>1092</v>
      </c>
      <c r="F297" t="s">
        <v>16</v>
      </c>
      <c r="G297" t="s">
        <v>50</v>
      </c>
      <c r="H297">
        <v>12</v>
      </c>
      <c r="I297">
        <v>432</v>
      </c>
      <c r="J297" t="s">
        <v>22</v>
      </c>
      <c r="K297" s="17">
        <v>2.65</v>
      </c>
      <c r="L297" s="3">
        <f t="shared" si="4"/>
        <v>0</v>
      </c>
      <c r="N297" t="s">
        <v>1093</v>
      </c>
      <c r="O297" t="s">
        <v>30</v>
      </c>
      <c r="P297">
        <v>9.5</v>
      </c>
    </row>
    <row r="298" spans="1:16" x14ac:dyDescent="0.35">
      <c r="A298" s="5" t="str">
        <f>HYPERLINK("https://tienda.tarracoimportexport.com/index.php?id_product=8991&amp;controller=product&amp;id_lang=4", "TR010076")</f>
        <v>TR010076</v>
      </c>
      <c r="B298" t="s">
        <v>1094</v>
      </c>
      <c r="D298" s="4">
        <v>816</v>
      </c>
      <c r="E298" t="s">
        <v>1095</v>
      </c>
      <c r="F298" t="s">
        <v>16</v>
      </c>
      <c r="G298" t="s">
        <v>50</v>
      </c>
      <c r="H298">
        <v>28</v>
      </c>
      <c r="I298">
        <v>1344</v>
      </c>
      <c r="J298" t="s">
        <v>336</v>
      </c>
      <c r="K298" s="17">
        <v>2.35</v>
      </c>
      <c r="L298" s="3">
        <f t="shared" si="4"/>
        <v>0</v>
      </c>
      <c r="N298" t="s">
        <v>1096</v>
      </c>
      <c r="O298" t="s">
        <v>731</v>
      </c>
      <c r="P298">
        <v>2.75</v>
      </c>
    </row>
    <row r="299" spans="1:16" x14ac:dyDescent="0.35">
      <c r="A299" s="5" t="str">
        <f>HYPERLINK("https://tienda.tarracoimportexport.com/index.php?id_product=10775&amp;controller=product&amp;id_lang=4", "TR011729")</f>
        <v>TR011729</v>
      </c>
      <c r="B299" t="s">
        <v>1094</v>
      </c>
      <c r="D299" s="4">
        <v>660</v>
      </c>
      <c r="E299" t="s">
        <v>1095</v>
      </c>
      <c r="F299" t="s">
        <v>16</v>
      </c>
      <c r="G299" t="s">
        <v>50</v>
      </c>
      <c r="H299">
        <v>28</v>
      </c>
      <c r="I299">
        <v>1344</v>
      </c>
      <c r="J299" t="s">
        <v>336</v>
      </c>
      <c r="K299" s="17">
        <v>2.35</v>
      </c>
      <c r="L299" s="3">
        <f t="shared" si="4"/>
        <v>0</v>
      </c>
      <c r="N299" t="s">
        <v>1097</v>
      </c>
      <c r="O299" t="s">
        <v>731</v>
      </c>
      <c r="P299">
        <v>2.7349999999999999</v>
      </c>
    </row>
    <row r="300" spans="1:16" x14ac:dyDescent="0.35">
      <c r="A300" s="5" t="str">
        <f>HYPERLINK("https://tienda.tarracoimportexport.com/index.php?id_product=7889&amp;controller=product&amp;id_lang=4", "TR009049")</f>
        <v>TR009049</v>
      </c>
      <c r="B300" t="s">
        <v>1098</v>
      </c>
      <c r="D300" s="4">
        <v>81220</v>
      </c>
      <c r="E300" t="s">
        <v>1099</v>
      </c>
      <c r="F300" t="s">
        <v>318</v>
      </c>
      <c r="G300" t="s">
        <v>242</v>
      </c>
      <c r="H300">
        <v>10</v>
      </c>
      <c r="I300">
        <v>240</v>
      </c>
      <c r="J300" t="s">
        <v>516</v>
      </c>
      <c r="K300" s="17">
        <v>1.95</v>
      </c>
      <c r="L300" s="3">
        <f t="shared" si="4"/>
        <v>0</v>
      </c>
      <c r="N300" t="s">
        <v>1100</v>
      </c>
      <c r="O300" t="s">
        <v>1101</v>
      </c>
      <c r="P300">
        <v>3.95</v>
      </c>
    </row>
    <row r="301" spans="1:16" x14ac:dyDescent="0.35">
      <c r="A301" s="5" t="str">
        <f>HYPERLINK("https://tienda.tarracoimportexport.com/index.php?id_product=7890&amp;controller=product&amp;id_lang=4", "TR009050")</f>
        <v>TR009050</v>
      </c>
      <c r="B301" t="s">
        <v>1102</v>
      </c>
      <c r="D301" s="4">
        <v>83296</v>
      </c>
      <c r="E301" t="s">
        <v>1103</v>
      </c>
      <c r="F301" t="s">
        <v>1104</v>
      </c>
      <c r="G301" t="s">
        <v>242</v>
      </c>
      <c r="H301">
        <v>10</v>
      </c>
      <c r="I301">
        <v>240</v>
      </c>
      <c r="J301" t="s">
        <v>516</v>
      </c>
      <c r="K301" s="17">
        <v>1.95</v>
      </c>
      <c r="L301" s="3">
        <f t="shared" si="4"/>
        <v>0</v>
      </c>
      <c r="N301" t="s">
        <v>1105</v>
      </c>
      <c r="O301" t="s">
        <v>1106</v>
      </c>
      <c r="P301">
        <v>3.91</v>
      </c>
    </row>
    <row r="302" spans="1:16" x14ac:dyDescent="0.35">
      <c r="A302" s="5" t="str">
        <f>HYPERLINK("https://tienda.tarracoimportexport.com/index.php?id_product=834&amp;controller=product&amp;id_lang=4", "TR000421")</f>
        <v>TR000421</v>
      </c>
      <c r="B302" t="s">
        <v>1107</v>
      </c>
      <c r="D302" s="4">
        <v>107570</v>
      </c>
      <c r="E302" t="s">
        <v>1108</v>
      </c>
      <c r="F302" t="s">
        <v>1109</v>
      </c>
      <c r="G302" t="s">
        <v>27</v>
      </c>
      <c r="H302">
        <v>16</v>
      </c>
      <c r="I302">
        <v>800</v>
      </c>
      <c r="J302" t="s">
        <v>140</v>
      </c>
      <c r="K302" s="17">
        <v>0.63</v>
      </c>
      <c r="L302" s="3">
        <f t="shared" si="4"/>
        <v>0</v>
      </c>
      <c r="N302" t="s">
        <v>1110</v>
      </c>
      <c r="O302" t="s">
        <v>1111</v>
      </c>
      <c r="P302">
        <v>3.1</v>
      </c>
    </row>
    <row r="303" spans="1:16" x14ac:dyDescent="0.35">
      <c r="A303" s="5" t="str">
        <f>HYPERLINK("https://tienda.tarracoimportexport.com/index.php?id_product=3495&amp;controller=product&amp;id_lang=4", "TR004940")</f>
        <v>TR004940</v>
      </c>
      <c r="B303" t="s">
        <v>1112</v>
      </c>
      <c r="D303" s="4">
        <v>167280</v>
      </c>
      <c r="E303" t="s">
        <v>1113</v>
      </c>
      <c r="F303" t="s">
        <v>853</v>
      </c>
      <c r="G303" t="s">
        <v>27</v>
      </c>
      <c r="H303">
        <v>16</v>
      </c>
      <c r="I303">
        <v>800</v>
      </c>
      <c r="J303" t="s">
        <v>140</v>
      </c>
      <c r="K303" s="17">
        <v>0.63</v>
      </c>
      <c r="L303" s="3">
        <f t="shared" si="4"/>
        <v>0</v>
      </c>
      <c r="N303" t="s">
        <v>1114</v>
      </c>
      <c r="O303" t="s">
        <v>1115</v>
      </c>
      <c r="P303">
        <v>3.5</v>
      </c>
    </row>
    <row r="304" spans="1:16" x14ac:dyDescent="0.35">
      <c r="A304" s="5" t="str">
        <f>HYPERLINK("https://tienda.tarracoimportexport.com/index.php?id_product=3579&amp;controller=product&amp;id_lang=4", "TR005011")</f>
        <v>TR005011</v>
      </c>
      <c r="B304" t="s">
        <v>1116</v>
      </c>
      <c r="D304" s="4">
        <v>8874</v>
      </c>
      <c r="E304" t="s">
        <v>1117</v>
      </c>
      <c r="F304" t="s">
        <v>16</v>
      </c>
      <c r="G304" t="s">
        <v>39</v>
      </c>
      <c r="H304">
        <v>20</v>
      </c>
      <c r="I304">
        <v>600</v>
      </c>
      <c r="J304" t="s">
        <v>996</v>
      </c>
      <c r="K304" s="17">
        <v>0.63</v>
      </c>
      <c r="L304" s="3">
        <f t="shared" si="4"/>
        <v>0</v>
      </c>
      <c r="N304" t="s">
        <v>1118</v>
      </c>
      <c r="O304" t="s">
        <v>1119</v>
      </c>
      <c r="P304">
        <v>0.8</v>
      </c>
    </row>
    <row r="305" spans="1:16" x14ac:dyDescent="0.35">
      <c r="A305" s="5" t="str">
        <f>HYPERLINK("https://tienda.tarracoimportexport.com/index.php?id_product=5831&amp;controller=product&amp;id_lang=4", "TR006985")</f>
        <v>TR006985</v>
      </c>
      <c r="B305" t="s">
        <v>1120</v>
      </c>
      <c r="D305" s="4">
        <v>1675</v>
      </c>
      <c r="E305" t="s">
        <v>1121</v>
      </c>
      <c r="F305" t="s">
        <v>16</v>
      </c>
      <c r="G305" t="s">
        <v>185</v>
      </c>
      <c r="H305">
        <v>1</v>
      </c>
      <c r="I305">
        <v>25</v>
      </c>
      <c r="J305" t="s">
        <v>526</v>
      </c>
      <c r="K305" s="17">
        <v>0.55000000000000004</v>
      </c>
      <c r="L305" s="3">
        <f t="shared" si="4"/>
        <v>0</v>
      </c>
      <c r="N305" t="s">
        <v>1122</v>
      </c>
      <c r="O305" t="s">
        <v>204</v>
      </c>
      <c r="P305">
        <v>10.01</v>
      </c>
    </row>
    <row r="306" spans="1:16" x14ac:dyDescent="0.35">
      <c r="A306" s="5" t="str">
        <f>HYPERLINK("https://tienda.tarracoimportexport.com/index.php?id_product=3906&amp;controller=product&amp;id_lang=4", "TR005263")</f>
        <v>TR005263</v>
      </c>
      <c r="B306" t="s">
        <v>1123</v>
      </c>
      <c r="D306" s="4">
        <v>1416</v>
      </c>
      <c r="E306" t="s">
        <v>1124</v>
      </c>
      <c r="F306" t="s">
        <v>16</v>
      </c>
      <c r="G306" t="s">
        <v>50</v>
      </c>
      <c r="H306">
        <v>9</v>
      </c>
      <c r="I306">
        <v>432</v>
      </c>
      <c r="J306" t="s">
        <v>22</v>
      </c>
      <c r="K306" s="17">
        <v>2.02</v>
      </c>
      <c r="L306" s="3">
        <f t="shared" si="4"/>
        <v>0</v>
      </c>
      <c r="N306" t="s">
        <v>1125</v>
      </c>
      <c r="O306" t="s">
        <v>59</v>
      </c>
      <c r="P306">
        <v>10.395</v>
      </c>
    </row>
    <row r="307" spans="1:16" x14ac:dyDescent="0.35">
      <c r="A307" s="5" t="str">
        <f>HYPERLINK("https://tienda.tarracoimportexport.com/index.php?id_product=9879&amp;controller=product&amp;id_lang=4", "TR010925")</f>
        <v>TR010925</v>
      </c>
      <c r="B307" t="s">
        <v>1126</v>
      </c>
      <c r="D307" s="4">
        <v>27474</v>
      </c>
      <c r="E307" t="s">
        <v>1127</v>
      </c>
      <c r="F307" t="s">
        <v>16</v>
      </c>
      <c r="G307" t="s">
        <v>39</v>
      </c>
      <c r="H307">
        <v>44</v>
      </c>
      <c r="I307">
        <v>1584</v>
      </c>
      <c r="J307" t="s">
        <v>1128</v>
      </c>
      <c r="K307" s="17">
        <v>1.51</v>
      </c>
      <c r="L307" s="3">
        <f t="shared" si="4"/>
        <v>0</v>
      </c>
      <c r="N307" t="s">
        <v>1129</v>
      </c>
      <c r="O307" t="s">
        <v>42</v>
      </c>
      <c r="P307">
        <v>1.4</v>
      </c>
    </row>
    <row r="308" spans="1:16" x14ac:dyDescent="0.35">
      <c r="A308" s="5" t="str">
        <f>HYPERLINK("https://tienda.tarracoimportexport.com/index.php?id_product=10111&amp;controller=product&amp;id_lang=4", "TR011150")</f>
        <v>TR011150</v>
      </c>
      <c r="B308" t="s">
        <v>1130</v>
      </c>
      <c r="D308" s="4">
        <v>18570</v>
      </c>
      <c r="E308" t="s">
        <v>1131</v>
      </c>
      <c r="F308" t="s">
        <v>16</v>
      </c>
      <c r="G308" t="s">
        <v>39</v>
      </c>
      <c r="H308">
        <v>19</v>
      </c>
      <c r="I308">
        <v>798</v>
      </c>
      <c r="J308" t="s">
        <v>1132</v>
      </c>
      <c r="K308" s="17">
        <v>1.4</v>
      </c>
      <c r="L308" s="3">
        <f t="shared" si="4"/>
        <v>0</v>
      </c>
      <c r="N308" t="s">
        <v>1133</v>
      </c>
      <c r="O308" t="s">
        <v>1134</v>
      </c>
      <c r="P308">
        <v>3.01</v>
      </c>
    </row>
    <row r="309" spans="1:16" x14ac:dyDescent="0.35">
      <c r="A309" s="5" t="str">
        <f>HYPERLINK("https://tienda.tarracoimportexport.com/index.php?id_product=10779&amp;controller=product&amp;id_lang=4", "TR011732")</f>
        <v>TR011732</v>
      </c>
      <c r="B309" t="s">
        <v>1135</v>
      </c>
      <c r="D309" s="4">
        <v>3462</v>
      </c>
      <c r="E309" t="s">
        <v>1136</v>
      </c>
      <c r="F309" t="s">
        <v>16</v>
      </c>
      <c r="G309" t="s">
        <v>39</v>
      </c>
      <c r="H309">
        <v>16</v>
      </c>
      <c r="I309">
        <v>1152</v>
      </c>
      <c r="J309" t="s">
        <v>69</v>
      </c>
      <c r="K309" s="17">
        <v>3.34</v>
      </c>
      <c r="L309" s="3">
        <f t="shared" si="4"/>
        <v>0</v>
      </c>
      <c r="N309" t="s">
        <v>1137</v>
      </c>
      <c r="O309" t="s">
        <v>42</v>
      </c>
      <c r="P309">
        <v>2.1949999999999998</v>
      </c>
    </row>
    <row r="310" spans="1:16" x14ac:dyDescent="0.35">
      <c r="A310" s="5" t="str">
        <f>HYPERLINK("https://tienda.tarracoimportexport.com/index.php?id_product=10780&amp;controller=product&amp;id_lang=4", "TR011733")</f>
        <v>TR011733</v>
      </c>
      <c r="B310" t="s">
        <v>1138</v>
      </c>
      <c r="D310" s="4">
        <v>3324</v>
      </c>
      <c r="E310" t="s">
        <v>1139</v>
      </c>
      <c r="F310" t="s">
        <v>16</v>
      </c>
      <c r="G310" t="s">
        <v>39</v>
      </c>
      <c r="H310">
        <v>30</v>
      </c>
      <c r="I310">
        <v>900</v>
      </c>
      <c r="J310" t="s">
        <v>1140</v>
      </c>
      <c r="K310" s="17">
        <v>3.34</v>
      </c>
      <c r="L310" s="3">
        <f t="shared" ref="L310:L371" si="5">K310*C310</f>
        <v>0</v>
      </c>
      <c r="N310" t="s">
        <v>1141</v>
      </c>
      <c r="O310" t="s">
        <v>42</v>
      </c>
      <c r="P310">
        <v>2.2200000000000002</v>
      </c>
    </row>
    <row r="311" spans="1:16" x14ac:dyDescent="0.35">
      <c r="A311" s="5" t="str">
        <f>HYPERLINK("https://tienda.tarracoimportexport.com/index.php?id_product=10776&amp;controller=product&amp;id_lang=4", "TR011730")</f>
        <v>TR011730</v>
      </c>
      <c r="B311" t="s">
        <v>1142</v>
      </c>
      <c r="D311" s="4">
        <v>2154</v>
      </c>
      <c r="E311" t="s">
        <v>1143</v>
      </c>
      <c r="F311" t="s">
        <v>16</v>
      </c>
      <c r="G311" t="s">
        <v>39</v>
      </c>
      <c r="H311">
        <v>16</v>
      </c>
      <c r="I311">
        <v>1152</v>
      </c>
      <c r="J311" t="s">
        <v>69</v>
      </c>
      <c r="K311" s="17">
        <v>3.34</v>
      </c>
      <c r="L311" s="3">
        <f t="shared" si="5"/>
        <v>0</v>
      </c>
      <c r="N311" t="s">
        <v>1144</v>
      </c>
      <c r="O311" t="s">
        <v>42</v>
      </c>
      <c r="P311">
        <v>2.1949999999999998</v>
      </c>
    </row>
    <row r="312" spans="1:16" x14ac:dyDescent="0.35">
      <c r="A312" s="5" t="str">
        <f>HYPERLINK("https://tienda.tarracoimportexport.com/index.php?id_product=10781&amp;controller=product&amp;id_lang=4", "TR011734")</f>
        <v>TR011734</v>
      </c>
      <c r="B312" t="s">
        <v>1145</v>
      </c>
      <c r="D312" s="4">
        <v>4128</v>
      </c>
      <c r="E312" t="s">
        <v>1146</v>
      </c>
      <c r="F312" t="s">
        <v>16</v>
      </c>
      <c r="G312" t="s">
        <v>39</v>
      </c>
      <c r="H312">
        <v>16</v>
      </c>
      <c r="I312">
        <v>1152</v>
      </c>
      <c r="J312" t="s">
        <v>69</v>
      </c>
      <c r="K312" s="17">
        <v>3.34</v>
      </c>
      <c r="L312" s="3">
        <f t="shared" si="5"/>
        <v>0</v>
      </c>
      <c r="N312" t="s">
        <v>1147</v>
      </c>
      <c r="O312" t="s">
        <v>42</v>
      </c>
      <c r="P312">
        <v>2.2000000000000002</v>
      </c>
    </row>
    <row r="313" spans="1:16" x14ac:dyDescent="0.35">
      <c r="A313" s="5" t="str">
        <f>HYPERLINK("https://tienda.tarracoimportexport.com/index.php?id_product=10728&amp;controller=product&amp;id_lang=4", "TR011692")</f>
        <v>TR011692</v>
      </c>
      <c r="B313" t="s">
        <v>1148</v>
      </c>
      <c r="D313" s="4">
        <v>222</v>
      </c>
      <c r="E313" t="s">
        <v>1149</v>
      </c>
      <c r="F313" t="s">
        <v>16</v>
      </c>
      <c r="G313" t="s">
        <v>39</v>
      </c>
      <c r="H313">
        <v>35</v>
      </c>
      <c r="I313">
        <v>1050</v>
      </c>
      <c r="J313" t="s">
        <v>499</v>
      </c>
      <c r="K313" s="17">
        <v>2.58</v>
      </c>
      <c r="L313" s="3">
        <f t="shared" si="5"/>
        <v>0</v>
      </c>
      <c r="N313" t="s">
        <v>1150</v>
      </c>
      <c r="O313" t="s">
        <v>1151</v>
      </c>
      <c r="P313">
        <v>2.7549999999999999</v>
      </c>
    </row>
    <row r="314" spans="1:16" x14ac:dyDescent="0.35">
      <c r="A314" s="5" t="str">
        <f>HYPERLINK("https://tienda.tarracoimportexport.com/index.php?id_product=10729&amp;controller=product&amp;id_lang=4", "TR011693")</f>
        <v>TR011693</v>
      </c>
      <c r="B314" t="s">
        <v>1152</v>
      </c>
      <c r="D314" s="4">
        <v>102</v>
      </c>
      <c r="E314" t="s">
        <v>1153</v>
      </c>
      <c r="F314" t="s">
        <v>16</v>
      </c>
      <c r="G314" t="s">
        <v>39</v>
      </c>
      <c r="H314">
        <v>35</v>
      </c>
      <c r="I314">
        <v>1050</v>
      </c>
      <c r="J314" t="s">
        <v>499</v>
      </c>
      <c r="K314" s="17">
        <v>2.58</v>
      </c>
      <c r="L314" s="3">
        <f t="shared" si="5"/>
        <v>0</v>
      </c>
      <c r="N314" t="s">
        <v>1154</v>
      </c>
      <c r="O314" t="s">
        <v>1151</v>
      </c>
      <c r="P314">
        <v>2.7549999999999999</v>
      </c>
    </row>
    <row r="315" spans="1:16" ht="15" customHeight="1" x14ac:dyDescent="0.35">
      <c r="A315" s="5" t="str">
        <f>HYPERLINK("https://tienda.tarracoimportexport.com/index.php?id_product=10827&amp;controller=product&amp;id_lang=4", "TR011774")</f>
        <v>TR011774</v>
      </c>
      <c r="B315" t="s">
        <v>1155</v>
      </c>
      <c r="D315" s="4">
        <v>90</v>
      </c>
      <c r="E315" t="s">
        <v>1156</v>
      </c>
      <c r="F315" t="s">
        <v>16</v>
      </c>
      <c r="G315" t="s">
        <v>39</v>
      </c>
      <c r="H315">
        <v>35</v>
      </c>
      <c r="I315">
        <v>1050</v>
      </c>
      <c r="J315" t="s">
        <v>499</v>
      </c>
      <c r="K315" s="17">
        <v>2.58</v>
      </c>
      <c r="L315" s="3">
        <f t="shared" si="5"/>
        <v>0</v>
      </c>
      <c r="N315" t="s">
        <v>1157</v>
      </c>
      <c r="O315" t="s">
        <v>1151</v>
      </c>
      <c r="P315">
        <v>2.74</v>
      </c>
    </row>
    <row r="316" spans="1:16" x14ac:dyDescent="0.35">
      <c r="A316" s="5" t="str">
        <f>HYPERLINK("https://tienda.tarracoimportexport.com/index.php?id_product=10730&amp;controller=product&amp;id_lang=4", "TR011694")</f>
        <v>TR011694</v>
      </c>
      <c r="B316" t="s">
        <v>1158</v>
      </c>
      <c r="D316" s="4">
        <v>102</v>
      </c>
      <c r="E316" t="s">
        <v>1159</v>
      </c>
      <c r="F316" t="s">
        <v>16</v>
      </c>
      <c r="G316" t="s">
        <v>39</v>
      </c>
      <c r="H316">
        <v>35</v>
      </c>
      <c r="I316">
        <v>1050</v>
      </c>
      <c r="J316" t="s">
        <v>499</v>
      </c>
      <c r="K316" s="17">
        <v>2.58</v>
      </c>
      <c r="L316" s="3">
        <f t="shared" si="5"/>
        <v>0</v>
      </c>
      <c r="N316" t="s">
        <v>1160</v>
      </c>
      <c r="O316" t="s">
        <v>1151</v>
      </c>
      <c r="P316">
        <v>2.7549999999999999</v>
      </c>
    </row>
    <row r="317" spans="1:16" x14ac:dyDescent="0.35">
      <c r="A317" s="5" t="str">
        <f>HYPERLINK("https://tienda.tarracoimportexport.com/index.php?id_product=10825&amp;controller=product&amp;id_lang=4", "TR011772")</f>
        <v>TR011772</v>
      </c>
      <c r="B317" t="s">
        <v>1161</v>
      </c>
      <c r="D317" s="4">
        <v>42</v>
      </c>
      <c r="E317" t="s">
        <v>1162</v>
      </c>
      <c r="F317" t="s">
        <v>16</v>
      </c>
      <c r="G317" t="s">
        <v>39</v>
      </c>
      <c r="H317">
        <v>35</v>
      </c>
      <c r="I317">
        <v>1050</v>
      </c>
      <c r="J317" t="s">
        <v>499</v>
      </c>
      <c r="K317" s="17">
        <v>2.58</v>
      </c>
      <c r="L317" s="3">
        <f t="shared" si="5"/>
        <v>0</v>
      </c>
      <c r="N317" t="s">
        <v>1163</v>
      </c>
      <c r="O317" t="s">
        <v>1151</v>
      </c>
      <c r="P317">
        <v>2.7450000000000001</v>
      </c>
    </row>
    <row r="318" spans="1:16" x14ac:dyDescent="0.35">
      <c r="A318" s="5" t="str">
        <f>HYPERLINK("https://tienda.tarracoimportexport.com/index.php?id_product=10676&amp;controller=product&amp;id_lang=4", "TR011651")</f>
        <v>TR011651</v>
      </c>
      <c r="B318" t="s">
        <v>1164</v>
      </c>
      <c r="D318" s="4">
        <v>702</v>
      </c>
      <c r="E318" t="s">
        <v>1165</v>
      </c>
      <c r="F318" t="s">
        <v>16</v>
      </c>
      <c r="G318" t="s">
        <v>39</v>
      </c>
      <c r="H318">
        <v>42</v>
      </c>
      <c r="I318">
        <v>1764</v>
      </c>
      <c r="J318" t="s">
        <v>1166</v>
      </c>
      <c r="K318" s="17">
        <v>1.79</v>
      </c>
      <c r="L318" s="3">
        <f t="shared" si="5"/>
        <v>0</v>
      </c>
      <c r="N318" t="s">
        <v>1167</v>
      </c>
      <c r="O318" t="s">
        <v>550</v>
      </c>
      <c r="P318">
        <v>0.55000000000000004</v>
      </c>
    </row>
    <row r="319" spans="1:16" x14ac:dyDescent="0.35">
      <c r="A319" s="5" t="str">
        <f>HYPERLINK("https://tienda.tarracoimportexport.com/index.php?id_product=6978&amp;controller=product&amp;id_lang=4", "TR008074")</f>
        <v>TR008074</v>
      </c>
      <c r="B319" t="s">
        <v>1168</v>
      </c>
      <c r="D319" s="4">
        <v>1734</v>
      </c>
      <c r="E319" t="s">
        <v>1169</v>
      </c>
      <c r="F319" t="s">
        <v>16</v>
      </c>
      <c r="G319" t="s">
        <v>39</v>
      </c>
      <c r="H319">
        <v>42</v>
      </c>
      <c r="I319">
        <v>1764</v>
      </c>
      <c r="J319" t="s">
        <v>1166</v>
      </c>
      <c r="K319" s="17">
        <v>1.79</v>
      </c>
      <c r="L319" s="3">
        <f t="shared" si="5"/>
        <v>0</v>
      </c>
      <c r="N319" t="s">
        <v>1170</v>
      </c>
      <c r="O319" t="s">
        <v>422</v>
      </c>
      <c r="P319">
        <v>0.55500000000000005</v>
      </c>
    </row>
    <row r="320" spans="1:16" x14ac:dyDescent="0.35">
      <c r="A320" s="5" t="str">
        <f>HYPERLINK("https://tienda.tarracoimportexport.com/index.php?id_product=10677&amp;controller=product&amp;id_lang=4", "TR011652")</f>
        <v>TR011652</v>
      </c>
      <c r="B320" t="s">
        <v>1171</v>
      </c>
      <c r="D320" s="4">
        <v>1740</v>
      </c>
      <c r="E320" t="s">
        <v>1172</v>
      </c>
      <c r="F320" t="s">
        <v>16</v>
      </c>
      <c r="G320" t="s">
        <v>39</v>
      </c>
      <c r="H320">
        <v>42</v>
      </c>
      <c r="I320">
        <v>1764</v>
      </c>
      <c r="J320" t="s">
        <v>1166</v>
      </c>
      <c r="K320" s="17">
        <v>1.79</v>
      </c>
      <c r="L320" s="3">
        <f t="shared" si="5"/>
        <v>0</v>
      </c>
      <c r="N320" t="s">
        <v>1173</v>
      </c>
      <c r="O320" t="s">
        <v>550</v>
      </c>
      <c r="P320">
        <v>0.56000000000000005</v>
      </c>
    </row>
    <row r="321" spans="1:16" x14ac:dyDescent="0.35">
      <c r="A321" s="5" t="str">
        <f>HYPERLINK("https://tienda.tarracoimportexport.com/index.php?id_product=4593&amp;controller=product&amp;id_lang=4", "TR005901")</f>
        <v>TR005901</v>
      </c>
      <c r="B321" t="s">
        <v>1174</v>
      </c>
      <c r="D321" s="4">
        <v>240</v>
      </c>
      <c r="E321" t="s">
        <v>1175</v>
      </c>
      <c r="F321" t="s">
        <v>16</v>
      </c>
      <c r="G321" t="s">
        <v>50</v>
      </c>
      <c r="H321">
        <v>56</v>
      </c>
      <c r="I321">
        <v>3360</v>
      </c>
      <c r="J321" t="s">
        <v>496</v>
      </c>
      <c r="K321" s="17">
        <v>1.41</v>
      </c>
      <c r="L321" s="3">
        <f t="shared" si="5"/>
        <v>0</v>
      </c>
      <c r="N321" t="s">
        <v>1176</v>
      </c>
      <c r="O321" t="s">
        <v>30</v>
      </c>
      <c r="P321">
        <v>1.69</v>
      </c>
    </row>
    <row r="322" spans="1:16" x14ac:dyDescent="0.35">
      <c r="A322" s="5" t="str">
        <f>HYPERLINK("https://tienda.tarracoimportexport.com/index.php?id_product=7432&amp;controller=product&amp;id_lang=4", "TR008610")</f>
        <v>TR008610</v>
      </c>
      <c r="B322" t="s">
        <v>1177</v>
      </c>
      <c r="D322" s="4">
        <v>94500</v>
      </c>
      <c r="E322" t="s">
        <v>1178</v>
      </c>
      <c r="F322" t="s">
        <v>16</v>
      </c>
      <c r="G322" t="s">
        <v>17</v>
      </c>
      <c r="H322">
        <v>16</v>
      </c>
      <c r="I322">
        <v>3840</v>
      </c>
      <c r="J322" t="s">
        <v>69</v>
      </c>
      <c r="K322" s="17">
        <v>0.45</v>
      </c>
      <c r="L322" s="3">
        <f t="shared" si="5"/>
        <v>0</v>
      </c>
      <c r="N322" t="s">
        <v>1179</v>
      </c>
      <c r="O322" t="s">
        <v>1180</v>
      </c>
      <c r="P322">
        <v>1.37</v>
      </c>
    </row>
    <row r="323" spans="1:16" x14ac:dyDescent="0.35">
      <c r="A323" s="5" t="str">
        <f>HYPERLINK("https://tienda.tarracoimportexport.com/index.php?id_product=2129&amp;controller=product&amp;id_lang=4", "TR003652")</f>
        <v>TR003652</v>
      </c>
      <c r="B323" t="s">
        <v>1181</v>
      </c>
      <c r="D323" s="4">
        <v>36800</v>
      </c>
      <c r="E323" t="s">
        <v>1182</v>
      </c>
      <c r="F323" t="s">
        <v>16</v>
      </c>
      <c r="G323" t="s">
        <v>17</v>
      </c>
      <c r="H323">
        <v>20</v>
      </c>
      <c r="I323">
        <v>4800</v>
      </c>
      <c r="J323" t="s">
        <v>867</v>
      </c>
      <c r="K323" s="17">
        <v>0.45</v>
      </c>
      <c r="L323" s="3">
        <f t="shared" si="5"/>
        <v>0</v>
      </c>
      <c r="N323" t="s">
        <v>1183</v>
      </c>
      <c r="O323" t="s">
        <v>1184</v>
      </c>
      <c r="P323">
        <v>1.3</v>
      </c>
    </row>
    <row r="324" spans="1:16" x14ac:dyDescent="0.35">
      <c r="A324" s="5" t="str">
        <f>HYPERLINK("https://tienda.tarracoimportexport.com/index.php?id_product=10791&amp;controller=product&amp;id_lang=4", "TR011739")</f>
        <v>TR011739</v>
      </c>
      <c r="B324" t="s">
        <v>1185</v>
      </c>
      <c r="D324" s="4">
        <v>1272</v>
      </c>
      <c r="E324" t="s">
        <v>1186</v>
      </c>
      <c r="F324" t="s">
        <v>16</v>
      </c>
      <c r="G324" t="s">
        <v>50</v>
      </c>
      <c r="H324">
        <v>14</v>
      </c>
      <c r="I324">
        <v>672</v>
      </c>
      <c r="J324" t="s">
        <v>539</v>
      </c>
      <c r="K324" s="17">
        <v>1.98</v>
      </c>
      <c r="L324" s="3">
        <f t="shared" si="5"/>
        <v>0</v>
      </c>
      <c r="N324" t="s">
        <v>1187</v>
      </c>
      <c r="O324" t="s">
        <v>99</v>
      </c>
      <c r="P324">
        <v>8.69</v>
      </c>
    </row>
    <row r="325" spans="1:16" x14ac:dyDescent="0.35">
      <c r="A325" s="5" t="str">
        <f>HYPERLINK("https://tienda.tarracoimportexport.com/index.php?id_product=10790&amp;controller=product&amp;id_lang=4", "TR011738")</f>
        <v>TR011738</v>
      </c>
      <c r="B325" t="s">
        <v>1188</v>
      </c>
      <c r="D325" s="4">
        <v>1236</v>
      </c>
      <c r="E325" t="s">
        <v>1189</v>
      </c>
      <c r="F325" t="s">
        <v>16</v>
      </c>
      <c r="G325" t="s">
        <v>50</v>
      </c>
      <c r="H325">
        <v>14</v>
      </c>
      <c r="I325">
        <v>672</v>
      </c>
      <c r="J325" t="s">
        <v>539</v>
      </c>
      <c r="K325" s="17">
        <v>1.98</v>
      </c>
      <c r="L325" s="3">
        <f t="shared" si="5"/>
        <v>0</v>
      </c>
      <c r="N325" t="s">
        <v>1190</v>
      </c>
      <c r="O325" t="s">
        <v>99</v>
      </c>
      <c r="P325">
        <v>8.69</v>
      </c>
    </row>
    <row r="326" spans="1:16" x14ac:dyDescent="0.35">
      <c r="A326" s="5" t="str">
        <f>HYPERLINK("https://tienda.tarracoimportexport.com/index.php?id_product=10747&amp;controller=product&amp;id_lang=4", "TR011711")</f>
        <v>TR011711</v>
      </c>
      <c r="B326" t="s">
        <v>1191</v>
      </c>
      <c r="D326" s="4">
        <v>16344</v>
      </c>
      <c r="E326" t="s">
        <v>1192</v>
      </c>
      <c r="F326" t="s">
        <v>16</v>
      </c>
      <c r="G326" t="s">
        <v>39</v>
      </c>
      <c r="H326">
        <v>28</v>
      </c>
      <c r="I326">
        <v>672</v>
      </c>
      <c r="J326" t="s">
        <v>336</v>
      </c>
      <c r="K326" s="17">
        <v>1.86</v>
      </c>
      <c r="L326" s="3">
        <f t="shared" si="5"/>
        <v>0</v>
      </c>
      <c r="N326" t="s">
        <v>1193</v>
      </c>
      <c r="O326" t="s">
        <v>1194</v>
      </c>
      <c r="P326">
        <v>3.45</v>
      </c>
    </row>
    <row r="327" spans="1:16" x14ac:dyDescent="0.35">
      <c r="A327" s="5" t="str">
        <f>HYPERLINK("https://tienda.tarracoimportexport.com/index.php?id_product=10498&amp;controller=product&amp;id_lang=4", "TR011477")</f>
        <v>TR011477</v>
      </c>
      <c r="B327" t="s">
        <v>1195</v>
      </c>
      <c r="D327" s="4">
        <v>11382</v>
      </c>
      <c r="E327" t="s">
        <v>1196</v>
      </c>
      <c r="F327" t="s">
        <v>16</v>
      </c>
      <c r="G327" t="s">
        <v>39</v>
      </c>
      <c r="H327">
        <v>28</v>
      </c>
      <c r="I327">
        <v>672</v>
      </c>
      <c r="J327" t="s">
        <v>336</v>
      </c>
      <c r="K327" s="17">
        <v>1.86</v>
      </c>
      <c r="L327" s="3">
        <f t="shared" si="5"/>
        <v>0</v>
      </c>
      <c r="N327" t="s">
        <v>1197</v>
      </c>
      <c r="O327" t="s">
        <v>42</v>
      </c>
      <c r="P327">
        <v>3.49</v>
      </c>
    </row>
    <row r="328" spans="1:16" x14ac:dyDescent="0.35">
      <c r="A328" s="5" t="str">
        <f>HYPERLINK("https://tienda.tarracoimportexport.com/index.php?id_product=10494&amp;controller=product&amp;id_lang=4", "TR011476")</f>
        <v>TR011476</v>
      </c>
      <c r="B328" t="s">
        <v>1198</v>
      </c>
      <c r="D328" s="4">
        <v>4554</v>
      </c>
      <c r="E328" t="s">
        <v>1199</v>
      </c>
      <c r="F328" t="s">
        <v>16</v>
      </c>
      <c r="G328" t="s">
        <v>39</v>
      </c>
      <c r="H328">
        <v>28</v>
      </c>
      <c r="I328">
        <v>672</v>
      </c>
      <c r="J328" t="s">
        <v>336</v>
      </c>
      <c r="K328" s="17">
        <v>1.86</v>
      </c>
      <c r="L328" s="3">
        <f t="shared" si="5"/>
        <v>0</v>
      </c>
      <c r="N328" t="s">
        <v>1200</v>
      </c>
      <c r="O328" t="s">
        <v>42</v>
      </c>
      <c r="P328">
        <v>3.49</v>
      </c>
    </row>
    <row r="329" spans="1:16" x14ac:dyDescent="0.35">
      <c r="A329" s="5" t="str">
        <f>HYPERLINK("https://tienda.tarracoimportexport.com/index.php?id_product=10493&amp;controller=product&amp;id_lang=4", "TR011475")</f>
        <v>TR011475</v>
      </c>
      <c r="B329" t="s">
        <v>1201</v>
      </c>
      <c r="D329" s="4">
        <v>9174</v>
      </c>
      <c r="E329" t="s">
        <v>1202</v>
      </c>
      <c r="F329" t="s">
        <v>16</v>
      </c>
      <c r="G329" t="s">
        <v>39</v>
      </c>
      <c r="H329">
        <v>28</v>
      </c>
      <c r="I329">
        <v>672</v>
      </c>
      <c r="J329" t="s">
        <v>336</v>
      </c>
      <c r="K329" s="17">
        <v>1.86</v>
      </c>
      <c r="L329" s="3">
        <f t="shared" si="5"/>
        <v>0</v>
      </c>
      <c r="N329" t="s">
        <v>1203</v>
      </c>
      <c r="O329" t="s">
        <v>42</v>
      </c>
      <c r="P329">
        <v>3.49</v>
      </c>
    </row>
    <row r="330" spans="1:16" x14ac:dyDescent="0.35">
      <c r="A330" s="5" t="str">
        <f>HYPERLINK("https://tienda.tarracoimportexport.com/index.php?id_product=10471&amp;controller=product&amp;id_lang=4", "TR011455")</f>
        <v>TR011455</v>
      </c>
      <c r="B330" t="s">
        <v>1204</v>
      </c>
      <c r="D330" s="4">
        <v>6612</v>
      </c>
      <c r="E330" t="s">
        <v>1205</v>
      </c>
      <c r="F330" t="s">
        <v>16</v>
      </c>
      <c r="G330" t="s">
        <v>39</v>
      </c>
      <c r="H330">
        <v>28</v>
      </c>
      <c r="I330">
        <v>672</v>
      </c>
      <c r="J330" t="s">
        <v>336</v>
      </c>
      <c r="K330" s="17">
        <v>1.86</v>
      </c>
      <c r="L330" s="3">
        <f t="shared" si="5"/>
        <v>0</v>
      </c>
      <c r="N330" t="s">
        <v>1206</v>
      </c>
      <c r="O330" t="s">
        <v>1194</v>
      </c>
      <c r="P330">
        <v>3.49</v>
      </c>
    </row>
    <row r="331" spans="1:16" x14ac:dyDescent="0.35">
      <c r="A331" s="5" t="str">
        <f>HYPERLINK("https://tienda.tarracoimportexport.com/index.php?id_product=6246&amp;controller=product&amp;id_lang=4", "TR007379")</f>
        <v>TR007379</v>
      </c>
      <c r="B331" t="s">
        <v>1207</v>
      </c>
      <c r="D331" s="4">
        <v>1608</v>
      </c>
      <c r="E331" t="s">
        <v>1208</v>
      </c>
      <c r="F331" t="s">
        <v>16</v>
      </c>
      <c r="G331" t="s">
        <v>106</v>
      </c>
      <c r="H331">
        <v>60</v>
      </c>
      <c r="I331">
        <v>10080</v>
      </c>
      <c r="J331" t="s">
        <v>1209</v>
      </c>
      <c r="K331" s="17">
        <v>0.4</v>
      </c>
      <c r="L331" s="3">
        <f t="shared" si="5"/>
        <v>0</v>
      </c>
      <c r="N331" t="s">
        <v>1210</v>
      </c>
      <c r="O331" t="s">
        <v>1211</v>
      </c>
      <c r="P331">
        <v>0.4</v>
      </c>
    </row>
    <row r="332" spans="1:16" x14ac:dyDescent="0.35">
      <c r="A332" s="5" t="str">
        <f>HYPERLINK("https://tienda.tarracoimportexport.com/index.php?id_product=6212&amp;controller=product&amp;id_lang=4", "TR007346")</f>
        <v>TR007346</v>
      </c>
      <c r="B332" t="s">
        <v>1212</v>
      </c>
      <c r="D332" s="4">
        <v>109152</v>
      </c>
      <c r="E332" t="s">
        <v>1213</v>
      </c>
      <c r="F332" t="s">
        <v>16</v>
      </c>
      <c r="G332" t="s">
        <v>51</v>
      </c>
      <c r="H332">
        <v>5</v>
      </c>
      <c r="I332">
        <v>10080</v>
      </c>
      <c r="J332" t="s">
        <v>28</v>
      </c>
      <c r="K332" s="17">
        <v>0.4</v>
      </c>
      <c r="L332" s="3">
        <f t="shared" si="5"/>
        <v>0</v>
      </c>
      <c r="N332" t="s">
        <v>1214</v>
      </c>
      <c r="O332" t="s">
        <v>1211</v>
      </c>
      <c r="P332">
        <v>5.55</v>
      </c>
    </row>
    <row r="333" spans="1:16" x14ac:dyDescent="0.35">
      <c r="A333" s="5" t="str">
        <f>HYPERLINK("https://tienda.tarracoimportexport.com/index.php?id_product=6247&amp;controller=product&amp;id_lang=4", "TR007380")</f>
        <v>TR007380</v>
      </c>
      <c r="B333" t="s">
        <v>1215</v>
      </c>
      <c r="D333" s="4">
        <v>1800</v>
      </c>
      <c r="E333" t="s">
        <v>1216</v>
      </c>
      <c r="F333" t="s">
        <v>16</v>
      </c>
      <c r="G333" t="s">
        <v>106</v>
      </c>
      <c r="H333">
        <v>60</v>
      </c>
      <c r="I333">
        <v>10080</v>
      </c>
      <c r="J333" t="s">
        <v>1209</v>
      </c>
      <c r="K333" s="17">
        <v>0.4</v>
      </c>
      <c r="L333" s="3">
        <f t="shared" si="5"/>
        <v>0</v>
      </c>
      <c r="N333" t="s">
        <v>1217</v>
      </c>
      <c r="O333" t="s">
        <v>1218</v>
      </c>
      <c r="P333">
        <v>0.42</v>
      </c>
    </row>
    <row r="334" spans="1:16" x14ac:dyDescent="0.35">
      <c r="A334" s="5" t="str">
        <f>HYPERLINK("https://tienda.tarracoimportexport.com/index.php?id_product=6211&amp;controller=product&amp;id_lang=4", "TR007345")</f>
        <v>TR007345</v>
      </c>
      <c r="B334" t="s">
        <v>1219</v>
      </c>
      <c r="D334" s="4">
        <v>208800</v>
      </c>
      <c r="E334" t="s">
        <v>1216</v>
      </c>
      <c r="F334" t="s">
        <v>16</v>
      </c>
      <c r="G334" t="s">
        <v>51</v>
      </c>
      <c r="H334">
        <v>5</v>
      </c>
      <c r="I334">
        <v>10080</v>
      </c>
      <c r="J334" t="s">
        <v>28</v>
      </c>
      <c r="K334" s="17">
        <v>0.32</v>
      </c>
      <c r="L334" s="3">
        <f t="shared" si="5"/>
        <v>0</v>
      </c>
      <c r="N334" t="s">
        <v>1220</v>
      </c>
      <c r="O334" t="s">
        <v>1211</v>
      </c>
      <c r="P334">
        <v>5.6</v>
      </c>
    </row>
    <row r="335" spans="1:16" x14ac:dyDescent="0.35">
      <c r="A335" s="5" t="str">
        <f>HYPERLINK("https://tienda.tarracoimportexport.com/index.php?id_product=7763&amp;controller=product&amp;id_lang=4", "TR008927")</f>
        <v>TR008927</v>
      </c>
      <c r="B335" t="s">
        <v>1221</v>
      </c>
      <c r="D335" s="4">
        <v>1560</v>
      </c>
      <c r="E335" t="s">
        <v>1222</v>
      </c>
      <c r="F335" t="s">
        <v>16</v>
      </c>
      <c r="G335" t="s">
        <v>106</v>
      </c>
      <c r="H335">
        <v>12</v>
      </c>
      <c r="I335">
        <v>10368</v>
      </c>
      <c r="J335" t="s">
        <v>1223</v>
      </c>
      <c r="K335" s="17">
        <v>0.4</v>
      </c>
      <c r="L335" s="3">
        <f t="shared" si="5"/>
        <v>0</v>
      </c>
      <c r="N335" t="s">
        <v>1224</v>
      </c>
      <c r="O335" t="s">
        <v>1225</v>
      </c>
      <c r="P335">
        <v>0.36499999999999999</v>
      </c>
    </row>
    <row r="336" spans="1:16" x14ac:dyDescent="0.35">
      <c r="A336" s="5" t="str">
        <f>HYPERLINK("https://tienda.tarracoimportexport.com/index.php?id_product=7385&amp;controller=product&amp;id_lang=4", "TR008566")</f>
        <v>TR008566</v>
      </c>
      <c r="B336" t="s">
        <v>1226</v>
      </c>
      <c r="D336" s="4">
        <v>108864</v>
      </c>
      <c r="E336" t="s">
        <v>1222</v>
      </c>
      <c r="F336" t="s">
        <v>16</v>
      </c>
      <c r="G336" t="s">
        <v>51</v>
      </c>
      <c r="H336">
        <v>1</v>
      </c>
      <c r="I336">
        <v>10368</v>
      </c>
      <c r="J336" t="s">
        <v>22</v>
      </c>
      <c r="K336" s="17">
        <v>0.32</v>
      </c>
      <c r="L336" s="3">
        <f t="shared" si="5"/>
        <v>0</v>
      </c>
      <c r="N336" t="s">
        <v>1227</v>
      </c>
      <c r="O336" t="s">
        <v>1225</v>
      </c>
      <c r="P336">
        <v>5.56</v>
      </c>
    </row>
    <row r="337" spans="1:16" x14ac:dyDescent="0.35">
      <c r="A337" s="5" t="str">
        <f>HYPERLINK("https://tienda.tarracoimportexport.com/index.php?id_product=6124&amp;controller=product&amp;id_lang=4", "TR007265")</f>
        <v>TR007265</v>
      </c>
      <c r="B337" t="s">
        <v>1228</v>
      </c>
      <c r="D337" s="4">
        <v>7008</v>
      </c>
      <c r="E337" t="s">
        <v>1229</v>
      </c>
      <c r="F337" t="s">
        <v>16</v>
      </c>
      <c r="G337" t="s">
        <v>50</v>
      </c>
      <c r="H337">
        <v>13</v>
      </c>
      <c r="I337">
        <v>780</v>
      </c>
      <c r="J337" t="s">
        <v>1230</v>
      </c>
      <c r="K337" s="17">
        <v>0.82</v>
      </c>
      <c r="L337" s="3">
        <f t="shared" si="5"/>
        <v>0</v>
      </c>
      <c r="N337" t="s">
        <v>1231</v>
      </c>
      <c r="O337" t="s">
        <v>1232</v>
      </c>
      <c r="P337">
        <v>10.1</v>
      </c>
    </row>
    <row r="338" spans="1:16" x14ac:dyDescent="0.35">
      <c r="A338" s="5" t="str">
        <f>HYPERLINK("https://tienda.tarracoimportexport.com/index.php?id_product=10516&amp;controller=product&amp;id_lang=4", "TR011493")</f>
        <v>TR011493</v>
      </c>
      <c r="B338" t="s">
        <v>1228</v>
      </c>
      <c r="D338" s="4">
        <v>28490</v>
      </c>
      <c r="E338" t="s">
        <v>1229</v>
      </c>
      <c r="F338" t="s">
        <v>16</v>
      </c>
      <c r="G338" t="s">
        <v>1233</v>
      </c>
      <c r="H338">
        <v>12</v>
      </c>
      <c r="I338">
        <v>840</v>
      </c>
      <c r="J338" t="s">
        <v>516</v>
      </c>
      <c r="K338" s="17">
        <v>0.82</v>
      </c>
      <c r="L338" s="3">
        <f t="shared" si="5"/>
        <v>0</v>
      </c>
      <c r="N338" t="s">
        <v>1234</v>
      </c>
      <c r="O338" t="s">
        <v>1235</v>
      </c>
      <c r="P338">
        <v>12.065</v>
      </c>
    </row>
    <row r="339" spans="1:16" x14ac:dyDescent="0.35">
      <c r="A339" s="5" t="str">
        <f>HYPERLINK("https://tienda.tarracoimportexport.com/index.php?id_product=6081&amp;controller=product&amp;id_lang=4", "TR007224")</f>
        <v>TR007224</v>
      </c>
      <c r="B339" t="s">
        <v>1236</v>
      </c>
      <c r="D339" s="4">
        <v>8940</v>
      </c>
      <c r="E339" t="s">
        <v>1237</v>
      </c>
      <c r="F339" t="s">
        <v>16</v>
      </c>
      <c r="G339" t="s">
        <v>50</v>
      </c>
      <c r="H339">
        <v>13</v>
      </c>
      <c r="I339">
        <v>780</v>
      </c>
      <c r="J339" t="s">
        <v>1230</v>
      </c>
      <c r="K339" s="17">
        <v>0.82</v>
      </c>
      <c r="L339" s="3">
        <f t="shared" si="5"/>
        <v>0</v>
      </c>
      <c r="N339" t="s">
        <v>1238</v>
      </c>
      <c r="O339" t="s">
        <v>1232</v>
      </c>
      <c r="P339">
        <v>10.07</v>
      </c>
    </row>
    <row r="340" spans="1:16" x14ac:dyDescent="0.35">
      <c r="A340" s="5" t="str">
        <f>HYPERLINK("https://tienda.tarracoimportexport.com/index.php?id_product=10660&amp;controller=product&amp;id_lang=4", "TR011635")</f>
        <v>TR011635</v>
      </c>
      <c r="B340" t="s">
        <v>1236</v>
      </c>
      <c r="D340" s="4">
        <v>23128</v>
      </c>
      <c r="E340" t="s">
        <v>1237</v>
      </c>
      <c r="F340" t="s">
        <v>16</v>
      </c>
      <c r="G340" t="s">
        <v>1233</v>
      </c>
      <c r="H340">
        <v>12</v>
      </c>
      <c r="I340">
        <v>840</v>
      </c>
      <c r="J340" t="s">
        <v>516</v>
      </c>
      <c r="K340" s="17">
        <v>0.82</v>
      </c>
      <c r="L340" s="3">
        <f t="shared" si="5"/>
        <v>0</v>
      </c>
      <c r="N340" t="s">
        <v>1239</v>
      </c>
      <c r="O340" t="s">
        <v>1235</v>
      </c>
      <c r="P340">
        <v>11.904999999999999</v>
      </c>
    </row>
    <row r="341" spans="1:16" x14ac:dyDescent="0.35">
      <c r="A341" s="5" t="str">
        <f>HYPERLINK("https://tienda.tarracoimportexport.com/index.php?id_product=6082&amp;controller=product&amp;id_lang=4", "TR007225")</f>
        <v>TR007225</v>
      </c>
      <c r="B341" t="s">
        <v>1240</v>
      </c>
      <c r="D341" s="4">
        <v>6180</v>
      </c>
      <c r="E341" t="s">
        <v>1241</v>
      </c>
      <c r="F341" t="s">
        <v>16</v>
      </c>
      <c r="G341" t="s">
        <v>50</v>
      </c>
      <c r="H341">
        <v>13</v>
      </c>
      <c r="I341">
        <v>780</v>
      </c>
      <c r="J341" t="s">
        <v>1230</v>
      </c>
      <c r="K341" s="17">
        <v>0.82</v>
      </c>
      <c r="L341" s="3">
        <f t="shared" si="5"/>
        <v>0</v>
      </c>
      <c r="N341" t="s">
        <v>1242</v>
      </c>
      <c r="O341" t="s">
        <v>1232</v>
      </c>
      <c r="P341">
        <v>10.11</v>
      </c>
    </row>
    <row r="342" spans="1:16" x14ac:dyDescent="0.35">
      <c r="A342" s="5" t="str">
        <f>HYPERLINK("https://tienda.tarracoimportexport.com/index.php?id_product=10499&amp;controller=product&amp;id_lang=4", "TR011478")</f>
        <v>TR011478</v>
      </c>
      <c r="B342" t="s">
        <v>1240</v>
      </c>
      <c r="D342" s="4">
        <v>25956</v>
      </c>
      <c r="E342" t="s">
        <v>1241</v>
      </c>
      <c r="F342" t="s">
        <v>16</v>
      </c>
      <c r="G342" t="s">
        <v>1233</v>
      </c>
      <c r="H342">
        <v>12</v>
      </c>
      <c r="I342">
        <v>840</v>
      </c>
      <c r="J342" t="s">
        <v>516</v>
      </c>
      <c r="K342" s="17">
        <v>0.82</v>
      </c>
      <c r="L342" s="3">
        <f t="shared" si="5"/>
        <v>0</v>
      </c>
      <c r="N342" t="s">
        <v>1243</v>
      </c>
      <c r="O342" t="s">
        <v>1235</v>
      </c>
      <c r="P342">
        <v>11.955</v>
      </c>
    </row>
    <row r="343" spans="1:16" x14ac:dyDescent="0.35">
      <c r="A343" s="5" t="str">
        <f>HYPERLINK("https://tienda.tarracoimportexport.com/index.php?id_product=10700&amp;controller=product&amp;id_lang=4", "TR011673")</f>
        <v>TR011673</v>
      </c>
      <c r="B343" t="s">
        <v>1244</v>
      </c>
      <c r="D343" s="4">
        <v>22008</v>
      </c>
      <c r="E343" t="s">
        <v>1245</v>
      </c>
      <c r="F343" t="s">
        <v>16</v>
      </c>
      <c r="G343" t="s">
        <v>1233</v>
      </c>
      <c r="H343">
        <v>12</v>
      </c>
      <c r="I343">
        <v>840</v>
      </c>
      <c r="J343" t="s">
        <v>516</v>
      </c>
      <c r="K343" s="17">
        <v>0.82</v>
      </c>
      <c r="L343" s="3">
        <f t="shared" si="5"/>
        <v>0</v>
      </c>
      <c r="N343" t="s">
        <v>1246</v>
      </c>
      <c r="O343" t="s">
        <v>1235</v>
      </c>
      <c r="P343">
        <v>11.81</v>
      </c>
    </row>
    <row r="344" spans="1:16" x14ac:dyDescent="0.35">
      <c r="A344" s="5" t="str">
        <f>HYPERLINK("https://tienda.tarracoimportexport.com/index.php?id_product=6094&amp;controller=product&amp;id_lang=4", "TR007236")</f>
        <v>TR007236</v>
      </c>
      <c r="B344" t="s">
        <v>1244</v>
      </c>
      <c r="D344" s="4">
        <v>7272</v>
      </c>
      <c r="E344" t="s">
        <v>1245</v>
      </c>
      <c r="F344" t="s">
        <v>16</v>
      </c>
      <c r="G344" t="s">
        <v>50</v>
      </c>
      <c r="H344">
        <v>13</v>
      </c>
      <c r="I344">
        <v>780</v>
      </c>
      <c r="J344" t="s">
        <v>1230</v>
      </c>
      <c r="K344" s="17">
        <v>0.82</v>
      </c>
      <c r="L344" s="3">
        <f t="shared" si="5"/>
        <v>0</v>
      </c>
      <c r="N344" t="s">
        <v>1247</v>
      </c>
      <c r="O344" t="s">
        <v>1248</v>
      </c>
      <c r="P344">
        <v>10.5</v>
      </c>
    </row>
    <row r="345" spans="1:16" x14ac:dyDescent="0.35">
      <c r="A345" s="5" t="str">
        <f>HYPERLINK("https://tienda.tarracoimportexport.com/index.php?id_product=6083&amp;controller=product&amp;id_lang=4", "TR007226")</f>
        <v>TR007226</v>
      </c>
      <c r="B345" t="s">
        <v>1249</v>
      </c>
      <c r="D345" s="4">
        <v>1416</v>
      </c>
      <c r="E345" t="s">
        <v>1250</v>
      </c>
      <c r="F345" t="s">
        <v>16</v>
      </c>
      <c r="G345" t="s">
        <v>50</v>
      </c>
      <c r="H345">
        <v>13</v>
      </c>
      <c r="I345">
        <v>780</v>
      </c>
      <c r="J345" t="s">
        <v>1230</v>
      </c>
      <c r="K345" s="17">
        <v>0.82</v>
      </c>
      <c r="L345" s="3">
        <f t="shared" si="5"/>
        <v>0</v>
      </c>
      <c r="N345" t="s">
        <v>1251</v>
      </c>
      <c r="O345" t="s">
        <v>1252</v>
      </c>
      <c r="P345">
        <v>10.065</v>
      </c>
    </row>
    <row r="346" spans="1:16" x14ac:dyDescent="0.35">
      <c r="A346" s="5" t="str">
        <f>HYPERLINK("https://tienda.tarracoimportexport.com/index.php?id_product=10249&amp;controller=product&amp;id_lang=4", "TR011271")</f>
        <v>TR011271</v>
      </c>
      <c r="B346" t="s">
        <v>1249</v>
      </c>
      <c r="D346" s="4">
        <v>17332</v>
      </c>
      <c r="E346" t="s">
        <v>1250</v>
      </c>
      <c r="F346" t="s">
        <v>115</v>
      </c>
      <c r="G346" t="s">
        <v>1233</v>
      </c>
      <c r="H346">
        <v>12</v>
      </c>
      <c r="I346">
        <v>840</v>
      </c>
      <c r="J346" t="s">
        <v>516</v>
      </c>
      <c r="K346" s="17">
        <v>0.82</v>
      </c>
      <c r="L346" s="3">
        <f t="shared" si="5"/>
        <v>0</v>
      </c>
      <c r="N346" t="s">
        <v>1253</v>
      </c>
      <c r="O346" t="s">
        <v>1252</v>
      </c>
      <c r="P346">
        <v>11.82</v>
      </c>
    </row>
    <row r="347" spans="1:16" x14ac:dyDescent="0.35">
      <c r="A347" s="5" t="str">
        <f>HYPERLINK("https://tienda.tarracoimportexport.com/index.php?id_product=9306&amp;controller=product&amp;id_lang=4", "TR010379")</f>
        <v>TR010379</v>
      </c>
      <c r="B347" t="s">
        <v>1254</v>
      </c>
      <c r="D347" s="4">
        <v>97452</v>
      </c>
      <c r="E347" t="s">
        <v>1255</v>
      </c>
      <c r="F347" t="s">
        <v>982</v>
      </c>
      <c r="G347" t="s">
        <v>50</v>
      </c>
      <c r="H347">
        <v>6</v>
      </c>
      <c r="I347">
        <v>288</v>
      </c>
      <c r="J347" t="s">
        <v>106</v>
      </c>
      <c r="K347" s="17">
        <v>2.9</v>
      </c>
      <c r="L347" s="3">
        <f t="shared" si="5"/>
        <v>0</v>
      </c>
      <c r="N347" t="s">
        <v>1256</v>
      </c>
      <c r="O347" t="s">
        <v>1257</v>
      </c>
      <c r="P347">
        <v>12.07</v>
      </c>
    </row>
    <row r="348" spans="1:16" x14ac:dyDescent="0.35">
      <c r="A348" s="5" t="str">
        <f>HYPERLINK("https://tienda.tarracoimportexport.com/index.php?id_product=7230&amp;controller=product&amp;id_lang=4", "TR008416")</f>
        <v>TR008416</v>
      </c>
      <c r="B348" t="s">
        <v>1258</v>
      </c>
      <c r="D348" s="4">
        <v>2256</v>
      </c>
      <c r="E348" t="s">
        <v>1259</v>
      </c>
      <c r="F348" t="s">
        <v>16</v>
      </c>
      <c r="G348" t="s">
        <v>50</v>
      </c>
      <c r="H348">
        <v>24</v>
      </c>
      <c r="I348">
        <v>1440</v>
      </c>
      <c r="J348" t="s">
        <v>63</v>
      </c>
      <c r="K348" s="17">
        <v>1.42</v>
      </c>
      <c r="L348" s="3">
        <f t="shared" si="5"/>
        <v>0</v>
      </c>
      <c r="N348" t="s">
        <v>1260</v>
      </c>
      <c r="O348" t="s">
        <v>1261</v>
      </c>
      <c r="P348">
        <v>4.165</v>
      </c>
    </row>
    <row r="349" spans="1:16" x14ac:dyDescent="0.35">
      <c r="A349" s="5" t="str">
        <f>HYPERLINK("https://tienda.tarracoimportexport.com/index.php?id_product=7231&amp;controller=product&amp;id_lang=4", "TR008417")</f>
        <v>TR008417</v>
      </c>
      <c r="B349" t="s">
        <v>1262</v>
      </c>
      <c r="D349" s="4">
        <v>2520</v>
      </c>
      <c r="E349" t="s">
        <v>1263</v>
      </c>
      <c r="F349" t="s">
        <v>16</v>
      </c>
      <c r="G349" t="s">
        <v>50</v>
      </c>
      <c r="H349">
        <v>24</v>
      </c>
      <c r="I349">
        <v>1440</v>
      </c>
      <c r="J349" t="s">
        <v>63</v>
      </c>
      <c r="K349" s="17">
        <v>1.42</v>
      </c>
      <c r="L349" s="3">
        <f t="shared" si="5"/>
        <v>0</v>
      </c>
      <c r="N349" t="s">
        <v>1264</v>
      </c>
      <c r="O349" t="s">
        <v>1261</v>
      </c>
      <c r="P349">
        <v>4.125</v>
      </c>
    </row>
    <row r="350" spans="1:16" x14ac:dyDescent="0.35">
      <c r="A350" s="5" t="str">
        <f>HYPERLINK("https://tienda.tarracoimportexport.com/index.php?id_product=6140&amp;controller=product&amp;id_lang=4", "TR007278")</f>
        <v>TR007278</v>
      </c>
      <c r="B350" t="s">
        <v>1265</v>
      </c>
      <c r="D350" s="4">
        <v>4746</v>
      </c>
      <c r="E350" t="s">
        <v>1266</v>
      </c>
      <c r="F350" t="s">
        <v>16</v>
      </c>
      <c r="G350" t="s">
        <v>39</v>
      </c>
      <c r="H350">
        <v>36</v>
      </c>
      <c r="I350">
        <v>1728</v>
      </c>
      <c r="J350" t="s">
        <v>51</v>
      </c>
      <c r="K350" s="17">
        <v>1.18</v>
      </c>
      <c r="L350" s="3">
        <f t="shared" si="5"/>
        <v>0</v>
      </c>
      <c r="N350" t="s">
        <v>1267</v>
      </c>
      <c r="O350" t="s">
        <v>1268</v>
      </c>
      <c r="P350">
        <v>2.5499999999999998</v>
      </c>
    </row>
    <row r="351" spans="1:16" x14ac:dyDescent="0.35">
      <c r="A351" s="5" t="str">
        <f>HYPERLINK("https://tienda.tarracoimportexport.com/index.php?id_product=6127&amp;controller=product&amp;id_lang=4", "TR007268")</f>
        <v>TR007268</v>
      </c>
      <c r="B351" t="s">
        <v>1269</v>
      </c>
      <c r="D351" s="4">
        <v>4314</v>
      </c>
      <c r="E351" t="s">
        <v>1270</v>
      </c>
      <c r="F351" t="s">
        <v>16</v>
      </c>
      <c r="G351" t="s">
        <v>39</v>
      </c>
      <c r="H351">
        <v>36</v>
      </c>
      <c r="I351">
        <v>1728</v>
      </c>
      <c r="J351" t="s">
        <v>51</v>
      </c>
      <c r="K351" s="17">
        <v>1.18</v>
      </c>
      <c r="L351" s="3">
        <f t="shared" si="5"/>
        <v>0</v>
      </c>
      <c r="N351" t="s">
        <v>1271</v>
      </c>
      <c r="O351" t="s">
        <v>1268</v>
      </c>
      <c r="P351">
        <v>2.96</v>
      </c>
    </row>
    <row r="352" spans="1:16" x14ac:dyDescent="0.35">
      <c r="A352" s="5" t="str">
        <f>HYPERLINK("https://tienda.tarracoimportexport.com/index.php?id_product=7404&amp;controller=product&amp;id_lang=4", "TR008583")</f>
        <v>TR008583</v>
      </c>
      <c r="B352" t="s">
        <v>1272</v>
      </c>
      <c r="D352" s="4">
        <v>672</v>
      </c>
      <c r="E352" t="s">
        <v>1273</v>
      </c>
      <c r="F352" t="s">
        <v>16</v>
      </c>
      <c r="G352" t="s">
        <v>50</v>
      </c>
      <c r="H352">
        <v>120</v>
      </c>
      <c r="I352">
        <v>7200</v>
      </c>
      <c r="J352" t="s">
        <v>1274</v>
      </c>
      <c r="K352" s="17">
        <v>0.79</v>
      </c>
      <c r="L352" s="3">
        <f t="shared" si="5"/>
        <v>0</v>
      </c>
      <c r="N352" t="s">
        <v>1275</v>
      </c>
      <c r="O352" t="s">
        <v>1276</v>
      </c>
      <c r="P352">
        <v>0.22500000000000001</v>
      </c>
    </row>
    <row r="353" spans="1:16" x14ac:dyDescent="0.35">
      <c r="A353" s="5" t="str">
        <f>HYPERLINK("https://tienda.tarracoimportexport.com/index.php?id_product=7397&amp;controller=product&amp;id_lang=4", "TR008577")</f>
        <v>TR008577</v>
      </c>
      <c r="B353" t="s">
        <v>1277</v>
      </c>
      <c r="D353" s="4">
        <v>348</v>
      </c>
      <c r="E353" t="s">
        <v>1278</v>
      </c>
      <c r="F353" t="s">
        <v>16</v>
      </c>
      <c r="G353" t="s">
        <v>50</v>
      </c>
      <c r="H353">
        <v>120</v>
      </c>
      <c r="I353">
        <v>5760</v>
      </c>
      <c r="J353" t="s">
        <v>1279</v>
      </c>
      <c r="K353" s="17">
        <v>1.3</v>
      </c>
      <c r="L353" s="3">
        <f t="shared" si="5"/>
        <v>0</v>
      </c>
      <c r="N353" t="s">
        <v>1280</v>
      </c>
      <c r="O353" t="s">
        <v>1276</v>
      </c>
      <c r="P353">
        <v>0.4</v>
      </c>
    </row>
    <row r="354" spans="1:16" x14ac:dyDescent="0.35">
      <c r="A354" s="5" t="str">
        <f>HYPERLINK("https://tienda.tarracoimportexport.com/index.php?id_product=7357&amp;controller=product&amp;id_lang=4", "TR008538")</f>
        <v>TR008538</v>
      </c>
      <c r="B354" t="s">
        <v>1281</v>
      </c>
      <c r="D354" s="4">
        <v>5280</v>
      </c>
      <c r="E354" t="s">
        <v>1278</v>
      </c>
      <c r="F354" t="s">
        <v>16</v>
      </c>
      <c r="G354" t="s">
        <v>63</v>
      </c>
      <c r="H354">
        <v>12</v>
      </c>
      <c r="I354">
        <v>5760</v>
      </c>
      <c r="J354" t="s">
        <v>202</v>
      </c>
      <c r="K354" s="17">
        <v>1.3</v>
      </c>
      <c r="L354" s="3">
        <f t="shared" si="5"/>
        <v>0</v>
      </c>
      <c r="N354" t="s">
        <v>1282</v>
      </c>
      <c r="O354" t="s">
        <v>1276</v>
      </c>
      <c r="P354">
        <v>4.4450000000000003</v>
      </c>
    </row>
    <row r="355" spans="1:16" x14ac:dyDescent="0.35">
      <c r="A355" s="5" t="str">
        <f>HYPERLINK("https://tienda.tarracoimportexport.com/index.php?id_product=7405&amp;controller=product&amp;id_lang=4", "TR008584")</f>
        <v>TR008584</v>
      </c>
      <c r="B355" t="s">
        <v>1283</v>
      </c>
      <c r="D355" s="4">
        <v>684</v>
      </c>
      <c r="E355" t="s">
        <v>1284</v>
      </c>
      <c r="F355" t="s">
        <v>16</v>
      </c>
      <c r="G355" t="s">
        <v>50</v>
      </c>
      <c r="H355">
        <v>120</v>
      </c>
      <c r="I355">
        <v>7200</v>
      </c>
      <c r="J355" t="s">
        <v>1274</v>
      </c>
      <c r="K355" s="17">
        <v>0.76</v>
      </c>
      <c r="L355" s="3">
        <f t="shared" si="5"/>
        <v>0</v>
      </c>
      <c r="N355" t="s">
        <v>1285</v>
      </c>
      <c r="O355" t="s">
        <v>1276</v>
      </c>
      <c r="P355">
        <v>0.23</v>
      </c>
    </row>
    <row r="356" spans="1:16" x14ac:dyDescent="0.35">
      <c r="A356" s="5" t="str">
        <f>HYPERLINK("https://tienda.tarracoimportexport.com/index.php?id_product=7363&amp;controller=product&amp;id_lang=4", "TR008544")</f>
        <v>TR008544</v>
      </c>
      <c r="B356" t="s">
        <v>1286</v>
      </c>
      <c r="D356" s="4">
        <v>4080</v>
      </c>
      <c r="E356" t="s">
        <v>1284</v>
      </c>
      <c r="F356" t="s">
        <v>16</v>
      </c>
      <c r="G356" t="s">
        <v>63</v>
      </c>
      <c r="H356">
        <v>12</v>
      </c>
      <c r="I356">
        <v>7200</v>
      </c>
      <c r="J356" t="s">
        <v>516</v>
      </c>
      <c r="K356" s="17">
        <v>0.76</v>
      </c>
      <c r="L356" s="3">
        <f t="shared" si="5"/>
        <v>0</v>
      </c>
      <c r="N356" t="s">
        <v>1287</v>
      </c>
      <c r="O356" t="s">
        <v>1276</v>
      </c>
      <c r="P356">
        <v>2.5</v>
      </c>
    </row>
    <row r="357" spans="1:16" x14ac:dyDescent="0.35">
      <c r="A357" s="5" t="str">
        <f>HYPERLINK("https://tienda.tarracoimportexport.com/index.php?id_product=7402&amp;controller=product&amp;id_lang=4", "TR008581")</f>
        <v>TR008581</v>
      </c>
      <c r="B357" t="s">
        <v>1288</v>
      </c>
      <c r="D357" s="4">
        <v>600</v>
      </c>
      <c r="E357" t="s">
        <v>1289</v>
      </c>
      <c r="F357" t="s">
        <v>16</v>
      </c>
      <c r="G357" t="s">
        <v>50</v>
      </c>
      <c r="H357">
        <v>120</v>
      </c>
      <c r="I357">
        <v>7200</v>
      </c>
      <c r="J357" t="s">
        <v>1274</v>
      </c>
      <c r="K357" s="17">
        <v>0.76</v>
      </c>
      <c r="L357" s="3">
        <f t="shared" si="5"/>
        <v>0</v>
      </c>
      <c r="N357" t="s">
        <v>1290</v>
      </c>
      <c r="O357" t="s">
        <v>1276</v>
      </c>
      <c r="P357">
        <v>0.215</v>
      </c>
    </row>
    <row r="358" spans="1:16" x14ac:dyDescent="0.35">
      <c r="A358" s="5" t="str">
        <f>HYPERLINK("https://tienda.tarracoimportexport.com/index.php?id_product=7360&amp;controller=product&amp;id_lang=4", "TR008541")</f>
        <v>TR008541</v>
      </c>
      <c r="B358" t="s">
        <v>1291</v>
      </c>
      <c r="D358" s="4">
        <v>6600</v>
      </c>
      <c r="E358" t="s">
        <v>1289</v>
      </c>
      <c r="F358" t="s">
        <v>16</v>
      </c>
      <c r="G358" t="s">
        <v>63</v>
      </c>
      <c r="H358">
        <v>12</v>
      </c>
      <c r="I358">
        <v>7200</v>
      </c>
      <c r="J358" t="s">
        <v>516</v>
      </c>
      <c r="K358" s="17">
        <v>0.76</v>
      </c>
      <c r="L358" s="3">
        <f t="shared" si="5"/>
        <v>0</v>
      </c>
      <c r="N358" t="s">
        <v>1292</v>
      </c>
      <c r="O358" t="s">
        <v>1276</v>
      </c>
      <c r="P358">
        <v>2.4300000000000002</v>
      </c>
    </row>
    <row r="359" spans="1:16" x14ac:dyDescent="0.35">
      <c r="A359" s="5" t="str">
        <f>HYPERLINK("https://tienda.tarracoimportexport.com/index.php?id_product=7358&amp;controller=product&amp;id_lang=4", "TR008539")</f>
        <v>TR008539</v>
      </c>
      <c r="B359" t="s">
        <v>1293</v>
      </c>
      <c r="D359" s="4">
        <v>11520</v>
      </c>
      <c r="E359" t="s">
        <v>1294</v>
      </c>
      <c r="F359" t="s">
        <v>16</v>
      </c>
      <c r="G359" t="s">
        <v>63</v>
      </c>
      <c r="H359">
        <v>12</v>
      </c>
      <c r="I359">
        <v>7200</v>
      </c>
      <c r="J359" t="s">
        <v>516</v>
      </c>
      <c r="K359" s="17">
        <v>0.84</v>
      </c>
      <c r="L359" s="3">
        <f t="shared" si="5"/>
        <v>0</v>
      </c>
      <c r="N359" t="s">
        <v>1295</v>
      </c>
      <c r="O359" t="s">
        <v>1276</v>
      </c>
      <c r="P359">
        <v>2.5</v>
      </c>
    </row>
    <row r="360" spans="1:16" x14ac:dyDescent="0.35">
      <c r="A360" s="5" t="str">
        <f>HYPERLINK("https://tienda.tarracoimportexport.com/index.php?id_product=7403&amp;controller=product&amp;id_lang=4", "TR008582")</f>
        <v>TR008582</v>
      </c>
      <c r="B360" t="s">
        <v>1296</v>
      </c>
      <c r="D360" s="4">
        <v>360</v>
      </c>
      <c r="E360" t="s">
        <v>1297</v>
      </c>
      <c r="F360" t="s">
        <v>16</v>
      </c>
      <c r="G360" t="s">
        <v>50</v>
      </c>
      <c r="H360">
        <v>120</v>
      </c>
      <c r="I360">
        <v>7200</v>
      </c>
      <c r="J360" t="s">
        <v>1274</v>
      </c>
      <c r="K360" s="17">
        <v>0.76</v>
      </c>
      <c r="L360" s="3">
        <f t="shared" si="5"/>
        <v>0</v>
      </c>
      <c r="N360" t="s">
        <v>1298</v>
      </c>
      <c r="O360" t="s">
        <v>1276</v>
      </c>
      <c r="P360">
        <v>0.22</v>
      </c>
    </row>
    <row r="361" spans="1:16" x14ac:dyDescent="0.35">
      <c r="A361" s="5" t="str">
        <f>HYPERLINK("https://tienda.tarracoimportexport.com/index.php?id_product=7362&amp;controller=product&amp;id_lang=4", "TR008543")</f>
        <v>TR008543</v>
      </c>
      <c r="B361" t="s">
        <v>1299</v>
      </c>
      <c r="D361" s="4">
        <v>6120</v>
      </c>
      <c r="E361" t="s">
        <v>1297</v>
      </c>
      <c r="F361" t="s">
        <v>16</v>
      </c>
      <c r="G361" t="s">
        <v>63</v>
      </c>
      <c r="H361">
        <v>12</v>
      </c>
      <c r="I361">
        <v>7200</v>
      </c>
      <c r="J361" t="s">
        <v>516</v>
      </c>
      <c r="K361" s="17">
        <v>0.76</v>
      </c>
      <c r="L361" s="3">
        <f t="shared" si="5"/>
        <v>0</v>
      </c>
      <c r="N361" t="s">
        <v>1300</v>
      </c>
      <c r="O361" t="s">
        <v>1276</v>
      </c>
      <c r="P361">
        <v>2.48</v>
      </c>
    </row>
    <row r="362" spans="1:16" x14ac:dyDescent="0.35">
      <c r="A362" s="5" t="str">
        <f>HYPERLINK("https://tienda.tarracoimportexport.com/index.php?id_product=7401&amp;controller=product&amp;id_lang=4", "TR008580")</f>
        <v>TR008580</v>
      </c>
      <c r="B362" t="s">
        <v>1301</v>
      </c>
      <c r="D362" s="4">
        <v>588</v>
      </c>
      <c r="E362" t="s">
        <v>1294</v>
      </c>
      <c r="F362" t="s">
        <v>16</v>
      </c>
      <c r="G362" t="s">
        <v>50</v>
      </c>
      <c r="H362">
        <v>120</v>
      </c>
      <c r="I362">
        <v>7200</v>
      </c>
      <c r="J362" t="s">
        <v>1274</v>
      </c>
      <c r="K362" s="17">
        <v>0.84</v>
      </c>
      <c r="L362" s="3">
        <f t="shared" si="5"/>
        <v>0</v>
      </c>
      <c r="N362" t="s">
        <v>1302</v>
      </c>
      <c r="O362" t="s">
        <v>1276</v>
      </c>
      <c r="P362">
        <v>0.22</v>
      </c>
    </row>
    <row r="363" spans="1:16" x14ac:dyDescent="0.35">
      <c r="A363" s="5" t="str">
        <f>HYPERLINK("https://tienda.tarracoimportexport.com/index.php?id_product=7359&amp;controller=product&amp;id_lang=4", "TR008540")</f>
        <v>TR008540</v>
      </c>
      <c r="B363" t="s">
        <v>1303</v>
      </c>
      <c r="D363" s="4">
        <v>7320</v>
      </c>
      <c r="E363" t="s">
        <v>1273</v>
      </c>
      <c r="F363" t="s">
        <v>16</v>
      </c>
      <c r="G363" t="s">
        <v>63</v>
      </c>
      <c r="H363">
        <v>12</v>
      </c>
      <c r="I363">
        <v>7200</v>
      </c>
      <c r="J363" t="s">
        <v>516</v>
      </c>
      <c r="K363" s="17">
        <v>0.79</v>
      </c>
      <c r="L363" s="3">
        <f t="shared" si="5"/>
        <v>0</v>
      </c>
      <c r="N363" t="s">
        <v>1304</v>
      </c>
      <c r="O363" t="s">
        <v>1276</v>
      </c>
      <c r="P363">
        <v>2.5099999999999998</v>
      </c>
    </row>
    <row r="364" spans="1:16" x14ac:dyDescent="0.35">
      <c r="A364" s="5" t="str">
        <f>HYPERLINK("https://tienda.tarracoimportexport.com/index.php?id_product=7398&amp;controller=product&amp;id_lang=4", "TR008578")</f>
        <v>TR008578</v>
      </c>
      <c r="B364" t="s">
        <v>1305</v>
      </c>
      <c r="D364" s="4">
        <v>264</v>
      </c>
      <c r="E364" t="s">
        <v>1306</v>
      </c>
      <c r="F364" t="s">
        <v>16</v>
      </c>
      <c r="G364" t="s">
        <v>50</v>
      </c>
      <c r="H364">
        <v>120</v>
      </c>
      <c r="I364">
        <v>5760</v>
      </c>
      <c r="J364" t="s">
        <v>1279</v>
      </c>
      <c r="K364" s="17">
        <v>1.3</v>
      </c>
      <c r="L364" s="3">
        <f t="shared" si="5"/>
        <v>0</v>
      </c>
      <c r="N364" t="s">
        <v>1307</v>
      </c>
      <c r="O364" t="s">
        <v>1276</v>
      </c>
      <c r="P364">
        <v>0.5</v>
      </c>
    </row>
    <row r="365" spans="1:16" x14ac:dyDescent="0.35">
      <c r="A365" s="5" t="str">
        <f>HYPERLINK("https://tienda.tarracoimportexport.com/index.php?id_product=7355&amp;controller=product&amp;id_lang=4", "TR008536")</f>
        <v>TR008536</v>
      </c>
      <c r="B365" t="s">
        <v>1308</v>
      </c>
      <c r="D365" s="4">
        <v>9000</v>
      </c>
      <c r="E365" t="s">
        <v>1306</v>
      </c>
      <c r="F365" t="s">
        <v>16</v>
      </c>
      <c r="G365" t="s">
        <v>63</v>
      </c>
      <c r="H365">
        <v>12</v>
      </c>
      <c r="I365">
        <v>5760</v>
      </c>
      <c r="J365" t="s">
        <v>202</v>
      </c>
      <c r="K365" s="17">
        <v>1.3</v>
      </c>
      <c r="L365" s="3">
        <f t="shared" si="5"/>
        <v>0</v>
      </c>
      <c r="N365" t="s">
        <v>1309</v>
      </c>
      <c r="O365" t="s">
        <v>1276</v>
      </c>
      <c r="P365">
        <v>5.4749999999999996</v>
      </c>
    </row>
    <row r="366" spans="1:16" x14ac:dyDescent="0.35">
      <c r="A366" s="5" t="str">
        <f>HYPERLINK("https://tienda.tarracoimportexport.com/index.php?id_product=7407&amp;controller=product&amp;id_lang=4", "TR008586")</f>
        <v>TR008586</v>
      </c>
      <c r="B366" t="s">
        <v>1310</v>
      </c>
      <c r="D366" s="4">
        <v>192</v>
      </c>
      <c r="E366" t="s">
        <v>1311</v>
      </c>
      <c r="F366" t="s">
        <v>16</v>
      </c>
      <c r="G366" t="s">
        <v>50</v>
      </c>
      <c r="H366">
        <v>120</v>
      </c>
      <c r="I366">
        <v>5760</v>
      </c>
      <c r="J366" t="s">
        <v>1279</v>
      </c>
      <c r="K366" s="17">
        <v>1.22</v>
      </c>
      <c r="L366" s="3">
        <f t="shared" si="5"/>
        <v>0</v>
      </c>
      <c r="N366" t="s">
        <v>1312</v>
      </c>
      <c r="O366" t="s">
        <v>1276</v>
      </c>
      <c r="P366">
        <v>0.46</v>
      </c>
    </row>
    <row r="367" spans="1:16" x14ac:dyDescent="0.35">
      <c r="A367" s="5" t="str">
        <f>HYPERLINK("https://tienda.tarracoimportexport.com/index.php?id_product=7356&amp;controller=product&amp;id_lang=4", "TR008537")</f>
        <v>TR008537</v>
      </c>
      <c r="B367" t="s">
        <v>1313</v>
      </c>
      <c r="D367" s="4">
        <v>6840</v>
      </c>
      <c r="E367" t="s">
        <v>1311</v>
      </c>
      <c r="F367" t="s">
        <v>16</v>
      </c>
      <c r="G367" t="s">
        <v>63</v>
      </c>
      <c r="H367">
        <v>12</v>
      </c>
      <c r="I367">
        <v>5760</v>
      </c>
      <c r="J367" t="s">
        <v>202</v>
      </c>
      <c r="K367" s="17">
        <v>1.22</v>
      </c>
      <c r="L367" s="3">
        <f t="shared" si="5"/>
        <v>0</v>
      </c>
      <c r="N367" t="s">
        <v>1314</v>
      </c>
      <c r="O367" t="s">
        <v>1276</v>
      </c>
      <c r="P367">
        <v>5.0449999999999999</v>
      </c>
    </row>
    <row r="368" spans="1:16" x14ac:dyDescent="0.35">
      <c r="A368" s="5" t="str">
        <f>HYPERLINK("https://tienda.tarracoimportexport.com/index.php?id_product=7396&amp;controller=product&amp;id_lang=4", "TR008576")</f>
        <v>TR008576</v>
      </c>
      <c r="B368" t="s">
        <v>1315</v>
      </c>
      <c r="D368" s="4">
        <v>468</v>
      </c>
      <c r="E368" t="s">
        <v>1316</v>
      </c>
      <c r="F368" t="s">
        <v>16</v>
      </c>
      <c r="G368" t="s">
        <v>50</v>
      </c>
      <c r="H368">
        <v>120</v>
      </c>
      <c r="I368">
        <v>5760</v>
      </c>
      <c r="J368" t="s">
        <v>1279</v>
      </c>
      <c r="K368" s="17">
        <v>1.48</v>
      </c>
      <c r="L368" s="3">
        <f t="shared" si="5"/>
        <v>0</v>
      </c>
      <c r="N368" t="s">
        <v>1317</v>
      </c>
      <c r="O368" t="s">
        <v>1276</v>
      </c>
      <c r="P368">
        <v>0.58499999999999996</v>
      </c>
    </row>
    <row r="369" spans="1:16" x14ac:dyDescent="0.35">
      <c r="A369" s="5" t="str">
        <f>HYPERLINK("https://tienda.tarracoimportexport.com/index.php?id_product=7354&amp;controller=product&amp;id_lang=4", "TR008535")</f>
        <v>TR008535</v>
      </c>
      <c r="B369" t="s">
        <v>1318</v>
      </c>
      <c r="D369" s="4">
        <v>12000</v>
      </c>
      <c r="E369" t="s">
        <v>1316</v>
      </c>
      <c r="F369" t="s">
        <v>16</v>
      </c>
      <c r="G369" t="s">
        <v>63</v>
      </c>
      <c r="H369">
        <v>12</v>
      </c>
      <c r="I369">
        <v>5760</v>
      </c>
      <c r="J369" t="s">
        <v>202</v>
      </c>
      <c r="K369" s="17">
        <v>1.48</v>
      </c>
      <c r="L369" s="3">
        <f t="shared" si="5"/>
        <v>0</v>
      </c>
      <c r="N369" t="s">
        <v>1319</v>
      </c>
      <c r="O369" t="s">
        <v>1276</v>
      </c>
      <c r="P369">
        <v>6.26</v>
      </c>
    </row>
    <row r="370" spans="1:16" x14ac:dyDescent="0.35">
      <c r="A370" s="5" t="str">
        <f>HYPERLINK("https://tienda.tarracoimportexport.com/index.php?id_product=8998&amp;controller=product&amp;id_lang=4", "TR010083")</f>
        <v>TR010083</v>
      </c>
      <c r="B370" t="s">
        <v>1320</v>
      </c>
      <c r="D370" s="4">
        <v>816</v>
      </c>
      <c r="E370" t="s">
        <v>1321</v>
      </c>
      <c r="F370" t="s">
        <v>16</v>
      </c>
      <c r="G370" t="s">
        <v>50</v>
      </c>
      <c r="H370">
        <v>240</v>
      </c>
      <c r="I370">
        <v>17280</v>
      </c>
      <c r="J370" t="s">
        <v>959</v>
      </c>
      <c r="K370" s="17">
        <v>0.45</v>
      </c>
      <c r="L370" s="3">
        <f t="shared" si="5"/>
        <v>0</v>
      </c>
      <c r="N370" t="s">
        <v>1322</v>
      </c>
      <c r="O370" t="s">
        <v>1323</v>
      </c>
      <c r="P370">
        <v>0.17</v>
      </c>
    </row>
    <row r="371" spans="1:16" x14ac:dyDescent="0.35">
      <c r="A371" s="5" t="str">
        <f>HYPERLINK("https://tienda.tarracoimportexport.com/index.php?id_product=8997&amp;controller=product&amp;id_lang=4", "TR010082")</f>
        <v>TR010082</v>
      </c>
      <c r="B371" t="s">
        <v>1324</v>
      </c>
      <c r="D371" s="4">
        <v>10080</v>
      </c>
      <c r="E371" t="s">
        <v>1321</v>
      </c>
      <c r="F371" t="s">
        <v>16</v>
      </c>
      <c r="G371" t="s">
        <v>867</v>
      </c>
      <c r="H371">
        <v>12</v>
      </c>
      <c r="I371">
        <v>17280</v>
      </c>
      <c r="J371" t="s">
        <v>94</v>
      </c>
      <c r="K371" s="17">
        <v>0.45</v>
      </c>
      <c r="L371" s="3">
        <f t="shared" si="5"/>
        <v>0</v>
      </c>
      <c r="N371" t="s">
        <v>1325</v>
      </c>
      <c r="O371" t="s">
        <v>1323</v>
      </c>
      <c r="P371">
        <v>3.9049999999999998</v>
      </c>
    </row>
    <row r="372" spans="1:16" x14ac:dyDescent="0.35">
      <c r="A372" s="5" t="str">
        <f>HYPERLINK("https://tienda.tarracoimportexport.com/index.php?id_product=7722&amp;controller=product&amp;id_lang=4", "TR008888")</f>
        <v>TR008888</v>
      </c>
      <c r="B372" t="s">
        <v>1326</v>
      </c>
      <c r="D372" s="4">
        <v>22752</v>
      </c>
      <c r="E372" t="s">
        <v>1327</v>
      </c>
      <c r="F372" t="s">
        <v>16</v>
      </c>
      <c r="G372" t="s">
        <v>94</v>
      </c>
      <c r="H372">
        <v>10</v>
      </c>
      <c r="I372">
        <v>4320</v>
      </c>
      <c r="J372" t="s">
        <v>516</v>
      </c>
      <c r="K372" s="17">
        <v>0.4</v>
      </c>
      <c r="L372" s="3">
        <f t="shared" ref="L372:L435" si="6">K372*C372</f>
        <v>0</v>
      </c>
      <c r="N372" t="s">
        <v>1328</v>
      </c>
      <c r="O372" t="s">
        <v>1329</v>
      </c>
      <c r="P372">
        <v>4.2300000000000004</v>
      </c>
    </row>
    <row r="373" spans="1:16" x14ac:dyDescent="0.35">
      <c r="A373" s="5" t="str">
        <f>HYPERLINK("https://tienda.tarracoimportexport.com/index.php?id_product=10622&amp;controller=product&amp;id_lang=4", "TR011597")</f>
        <v>TR011597</v>
      </c>
      <c r="B373" t="s">
        <v>1330</v>
      </c>
      <c r="D373" s="4">
        <v>612</v>
      </c>
      <c r="E373" t="s">
        <v>1327</v>
      </c>
      <c r="F373" t="s">
        <v>16</v>
      </c>
      <c r="G373" t="s">
        <v>50</v>
      </c>
      <c r="H373">
        <v>1</v>
      </c>
      <c r="I373">
        <v>12</v>
      </c>
      <c r="J373" t="s">
        <v>526</v>
      </c>
      <c r="K373" s="17">
        <v>0.4</v>
      </c>
      <c r="L373" s="3">
        <f t="shared" si="6"/>
        <v>0</v>
      </c>
      <c r="N373" t="s">
        <v>1331</v>
      </c>
      <c r="O373" t="s">
        <v>1329</v>
      </c>
      <c r="P373">
        <v>0.64</v>
      </c>
    </row>
    <row r="374" spans="1:16" x14ac:dyDescent="0.35">
      <c r="A374" s="5" t="str">
        <f>HYPERLINK("https://tienda.tarracoimportexport.com/index.php?id_product=7724&amp;controller=product&amp;id_lang=4", "TR008890")</f>
        <v>TR008890</v>
      </c>
      <c r="B374" t="s">
        <v>1332</v>
      </c>
      <c r="D374" s="4">
        <v>42840</v>
      </c>
      <c r="E374" t="s">
        <v>1333</v>
      </c>
      <c r="F374" t="s">
        <v>16</v>
      </c>
      <c r="G374" t="s">
        <v>94</v>
      </c>
      <c r="H374">
        <v>7</v>
      </c>
      <c r="I374">
        <v>3024</v>
      </c>
      <c r="J374" t="s">
        <v>334</v>
      </c>
      <c r="K374" s="17">
        <v>0.65</v>
      </c>
      <c r="L374" s="3">
        <f t="shared" si="6"/>
        <v>0</v>
      </c>
      <c r="N374" t="s">
        <v>1334</v>
      </c>
      <c r="O374" t="s">
        <v>1329</v>
      </c>
      <c r="P374">
        <v>7.12</v>
      </c>
    </row>
    <row r="375" spans="1:16" x14ac:dyDescent="0.35">
      <c r="A375" s="5" t="str">
        <f>HYPERLINK("https://tienda.tarracoimportexport.com/index.php?id_product=10623&amp;controller=product&amp;id_lang=4", "TR011598")</f>
        <v>TR011598</v>
      </c>
      <c r="B375" t="s">
        <v>1335</v>
      </c>
      <c r="D375" s="4">
        <v>636</v>
      </c>
      <c r="E375" t="s">
        <v>1333</v>
      </c>
      <c r="F375" t="s">
        <v>16</v>
      </c>
      <c r="G375" t="s">
        <v>50</v>
      </c>
      <c r="H375">
        <v>1</v>
      </c>
      <c r="I375">
        <v>12</v>
      </c>
      <c r="J375" t="s">
        <v>526</v>
      </c>
      <c r="K375" s="17">
        <v>0.65</v>
      </c>
      <c r="L375" s="3">
        <f t="shared" si="6"/>
        <v>0</v>
      </c>
      <c r="N375" t="s">
        <v>1336</v>
      </c>
      <c r="O375" t="s">
        <v>1329</v>
      </c>
      <c r="P375">
        <v>1.125</v>
      </c>
    </row>
    <row r="376" spans="1:16" x14ac:dyDescent="0.35">
      <c r="A376" s="5" t="str">
        <f>HYPERLINK("https://tienda.tarracoimportexport.com/index.php?id_product=7793&amp;controller=product&amp;id_lang=4", "TR008957")</f>
        <v>TR008957</v>
      </c>
      <c r="B376" t="s">
        <v>1337</v>
      </c>
      <c r="D376" s="4">
        <v>3222</v>
      </c>
      <c r="E376" t="s">
        <v>1338</v>
      </c>
      <c r="F376" t="s">
        <v>16</v>
      </c>
      <c r="G376" t="s">
        <v>39</v>
      </c>
      <c r="H376">
        <v>57</v>
      </c>
      <c r="I376">
        <v>3078</v>
      </c>
      <c r="J376" t="s">
        <v>1339</v>
      </c>
      <c r="K376" s="17">
        <v>1.94</v>
      </c>
      <c r="L376" s="3">
        <f t="shared" si="6"/>
        <v>0</v>
      </c>
      <c r="N376" t="s">
        <v>1340</v>
      </c>
      <c r="O376" t="s">
        <v>1261</v>
      </c>
      <c r="P376">
        <v>1.47</v>
      </c>
    </row>
    <row r="377" spans="1:16" x14ac:dyDescent="0.35">
      <c r="A377" s="5" t="str">
        <f>HYPERLINK("https://tienda.tarracoimportexport.com/index.php?id_product=7794&amp;controller=product&amp;id_lang=4", "TR008958")</f>
        <v>TR008958</v>
      </c>
      <c r="B377" t="s">
        <v>1341</v>
      </c>
      <c r="D377" s="4">
        <v>1650</v>
      </c>
      <c r="E377" t="s">
        <v>1342</v>
      </c>
      <c r="F377" t="s">
        <v>16</v>
      </c>
      <c r="G377" t="s">
        <v>39</v>
      </c>
      <c r="H377">
        <v>57</v>
      </c>
      <c r="I377">
        <v>2394</v>
      </c>
      <c r="J377" t="s">
        <v>1343</v>
      </c>
      <c r="K377" s="17">
        <v>1.65</v>
      </c>
      <c r="L377" s="3">
        <f t="shared" si="6"/>
        <v>0</v>
      </c>
      <c r="N377" t="s">
        <v>1344</v>
      </c>
      <c r="O377" t="s">
        <v>1261</v>
      </c>
      <c r="P377">
        <v>1.48</v>
      </c>
    </row>
    <row r="378" spans="1:16" x14ac:dyDescent="0.35">
      <c r="A378" s="5" t="str">
        <f>HYPERLINK("https://tienda.tarracoimportexport.com/index.php?id_product=7795&amp;controller=product&amp;id_lang=4", "TR008959")</f>
        <v>TR008959</v>
      </c>
      <c r="B378" t="s">
        <v>1345</v>
      </c>
      <c r="D378" s="4">
        <v>3132</v>
      </c>
      <c r="E378" t="s">
        <v>1346</v>
      </c>
      <c r="F378" t="s">
        <v>16</v>
      </c>
      <c r="G378" t="s">
        <v>39</v>
      </c>
      <c r="H378">
        <v>64</v>
      </c>
      <c r="I378">
        <v>2688</v>
      </c>
      <c r="J378" t="s">
        <v>576</v>
      </c>
      <c r="K378" s="17">
        <v>1.73</v>
      </c>
      <c r="L378" s="3">
        <f t="shared" si="6"/>
        <v>0</v>
      </c>
      <c r="N378" t="s">
        <v>1347</v>
      </c>
      <c r="O378" t="s">
        <v>1348</v>
      </c>
      <c r="P378">
        <v>1.42</v>
      </c>
    </row>
    <row r="379" spans="1:16" x14ac:dyDescent="0.35">
      <c r="A379" s="5" t="str">
        <f>HYPERLINK("https://tienda.tarracoimportexport.com/index.php?id_product=7792&amp;controller=product&amp;id_lang=4", "TR008956")</f>
        <v>TR008956</v>
      </c>
      <c r="B379" t="s">
        <v>1349</v>
      </c>
      <c r="D379" s="4">
        <v>5058</v>
      </c>
      <c r="E379" t="s">
        <v>1350</v>
      </c>
      <c r="F379" t="s">
        <v>16</v>
      </c>
      <c r="G379" t="s">
        <v>39</v>
      </c>
      <c r="H379">
        <v>16</v>
      </c>
      <c r="I379">
        <v>1536</v>
      </c>
      <c r="J379" t="s">
        <v>1351</v>
      </c>
      <c r="K379" s="17">
        <v>1.98</v>
      </c>
      <c r="L379" s="3">
        <f t="shared" si="6"/>
        <v>0</v>
      </c>
      <c r="N379" t="s">
        <v>1352</v>
      </c>
      <c r="O379" t="s">
        <v>1261</v>
      </c>
      <c r="P379">
        <v>2.83</v>
      </c>
    </row>
    <row r="380" spans="1:16" x14ac:dyDescent="0.35">
      <c r="A380" s="5" t="str">
        <f>HYPERLINK("https://tienda.tarracoimportexport.com/index.php?id_product=7791&amp;controller=product&amp;id_lang=4", "TR008955")</f>
        <v>TR008955</v>
      </c>
      <c r="B380" t="s">
        <v>1353</v>
      </c>
      <c r="D380" s="4">
        <v>10068</v>
      </c>
      <c r="E380" t="s">
        <v>1354</v>
      </c>
      <c r="F380" t="s">
        <v>606</v>
      </c>
      <c r="G380" t="s">
        <v>39</v>
      </c>
      <c r="H380">
        <v>35</v>
      </c>
      <c r="I380">
        <v>1260</v>
      </c>
      <c r="J380" t="s">
        <v>945</v>
      </c>
      <c r="K380" s="17">
        <v>2.3199999999999998</v>
      </c>
      <c r="L380" s="3">
        <f t="shared" si="6"/>
        <v>0</v>
      </c>
      <c r="N380" t="s">
        <v>1355</v>
      </c>
      <c r="O380" t="s">
        <v>1261</v>
      </c>
      <c r="P380">
        <v>3.375</v>
      </c>
    </row>
    <row r="381" spans="1:16" x14ac:dyDescent="0.35">
      <c r="A381" s="5" t="str">
        <f>HYPERLINK("https://tienda.tarracoimportexport.com/index.php?id_product=6616&amp;controller=product&amp;id_lang=4", "TR007737")</f>
        <v>TR007737</v>
      </c>
      <c r="B381" t="s">
        <v>1356</v>
      </c>
      <c r="D381" s="4">
        <v>56</v>
      </c>
      <c r="E381" t="s">
        <v>1357</v>
      </c>
      <c r="F381" t="s">
        <v>16</v>
      </c>
      <c r="G381" t="s">
        <v>62</v>
      </c>
      <c r="H381">
        <v>3</v>
      </c>
      <c r="I381">
        <v>768</v>
      </c>
      <c r="J381" t="s">
        <v>374</v>
      </c>
      <c r="K381" s="17">
        <v>10.28</v>
      </c>
      <c r="L381" s="3">
        <f t="shared" si="6"/>
        <v>0</v>
      </c>
      <c r="N381" t="s">
        <v>1358</v>
      </c>
      <c r="O381" t="s">
        <v>1359</v>
      </c>
      <c r="P381">
        <v>2.94</v>
      </c>
    </row>
    <row r="382" spans="1:16" x14ac:dyDescent="0.35">
      <c r="A382" s="5" t="str">
        <f>HYPERLINK("https://tienda.tarracoimportexport.com/index.php?id_product=6589&amp;controller=product&amp;id_lang=4", "TR007712")</f>
        <v>TR007712</v>
      </c>
      <c r="B382" t="s">
        <v>1360</v>
      </c>
      <c r="D382" s="4">
        <v>4080</v>
      </c>
      <c r="E382" t="s">
        <v>1357</v>
      </c>
      <c r="F382" t="s">
        <v>16</v>
      </c>
      <c r="G382" t="s">
        <v>106</v>
      </c>
      <c r="H382">
        <v>1</v>
      </c>
      <c r="I382">
        <v>768</v>
      </c>
      <c r="J382" t="s">
        <v>1361</v>
      </c>
      <c r="K382" s="17">
        <v>10.28</v>
      </c>
      <c r="L382" s="3">
        <f t="shared" si="6"/>
        <v>0</v>
      </c>
      <c r="N382" t="s">
        <v>1362</v>
      </c>
      <c r="O382" t="s">
        <v>1359</v>
      </c>
      <c r="P382">
        <v>9.34</v>
      </c>
    </row>
    <row r="383" spans="1:16" x14ac:dyDescent="0.35">
      <c r="A383" s="5" t="str">
        <f>HYPERLINK("https://tienda.tarracoimportexport.com/index.php?id_product=8071&amp;controller=product&amp;id_lang=4", "TR009229")</f>
        <v>TR009229</v>
      </c>
      <c r="B383" t="s">
        <v>1363</v>
      </c>
      <c r="D383" s="4">
        <v>912</v>
      </c>
      <c r="E383" t="s">
        <v>1364</v>
      </c>
      <c r="F383" t="s">
        <v>16</v>
      </c>
      <c r="G383" t="s">
        <v>50</v>
      </c>
      <c r="H383">
        <v>72</v>
      </c>
      <c r="I383">
        <v>5184</v>
      </c>
      <c r="J383" t="s">
        <v>1223</v>
      </c>
      <c r="K383" s="17">
        <v>1.95</v>
      </c>
      <c r="L383" s="3">
        <f t="shared" si="6"/>
        <v>0</v>
      </c>
      <c r="N383" t="s">
        <v>1365</v>
      </c>
      <c r="O383" t="s">
        <v>1366</v>
      </c>
      <c r="P383">
        <v>0.42499999999999999</v>
      </c>
    </row>
    <row r="384" spans="1:16" x14ac:dyDescent="0.35">
      <c r="A384" s="5" t="str">
        <f>HYPERLINK("https://tienda.tarracoimportexport.com/index.php?id_product=8070&amp;controller=product&amp;id_lang=4", "TR009228")</f>
        <v>TR009228</v>
      </c>
      <c r="B384" t="s">
        <v>1367</v>
      </c>
      <c r="D384" s="4">
        <v>30372</v>
      </c>
      <c r="E384" t="s">
        <v>1364</v>
      </c>
      <c r="F384" t="s">
        <v>16</v>
      </c>
      <c r="G384" t="s">
        <v>47</v>
      </c>
      <c r="H384">
        <v>6</v>
      </c>
      <c r="I384">
        <v>5184</v>
      </c>
      <c r="J384" t="s">
        <v>22</v>
      </c>
      <c r="K384" s="17">
        <v>1.95</v>
      </c>
      <c r="L384" s="3">
        <f t="shared" si="6"/>
        <v>0</v>
      </c>
      <c r="N384" t="s">
        <v>1368</v>
      </c>
      <c r="O384" t="s">
        <v>1366</v>
      </c>
      <c r="P384">
        <v>5.7249999999999996</v>
      </c>
    </row>
    <row r="385" spans="1:16" x14ac:dyDescent="0.35">
      <c r="A385" s="5" t="str">
        <f>HYPERLINK("https://tienda.tarracoimportexport.com/index.php?id_product=8818&amp;controller=product&amp;id_lang=4", "TR009922")</f>
        <v>TR009922</v>
      </c>
      <c r="B385" t="s">
        <v>1369</v>
      </c>
      <c r="D385" s="4">
        <v>708</v>
      </c>
      <c r="E385" t="s">
        <v>1370</v>
      </c>
      <c r="F385" t="s">
        <v>16</v>
      </c>
      <c r="G385" t="s">
        <v>50</v>
      </c>
      <c r="H385">
        <v>72</v>
      </c>
      <c r="I385">
        <v>5184</v>
      </c>
      <c r="J385" t="s">
        <v>1223</v>
      </c>
      <c r="K385" s="17">
        <v>1.95</v>
      </c>
      <c r="L385" s="3">
        <f t="shared" si="6"/>
        <v>0</v>
      </c>
      <c r="N385" t="s">
        <v>1371</v>
      </c>
      <c r="O385" t="s">
        <v>1372</v>
      </c>
      <c r="P385">
        <v>0.44500000000000001</v>
      </c>
    </row>
    <row r="386" spans="1:16" x14ac:dyDescent="0.35">
      <c r="A386" s="5" t="str">
        <f>HYPERLINK("https://tienda.tarracoimportexport.com/index.php?id_product=8817&amp;controller=product&amp;id_lang=4", "TR009921")</f>
        <v>TR009921</v>
      </c>
      <c r="B386" t="s">
        <v>1373</v>
      </c>
      <c r="D386" s="4">
        <v>34692</v>
      </c>
      <c r="E386" t="s">
        <v>1370</v>
      </c>
      <c r="F386" t="s">
        <v>16</v>
      </c>
      <c r="G386" t="s">
        <v>47</v>
      </c>
      <c r="H386">
        <v>6</v>
      </c>
      <c r="I386">
        <v>5184</v>
      </c>
      <c r="J386" t="s">
        <v>22</v>
      </c>
      <c r="K386" s="17">
        <v>1.95</v>
      </c>
      <c r="L386" s="3">
        <f t="shared" si="6"/>
        <v>0</v>
      </c>
      <c r="N386" t="s">
        <v>1374</v>
      </c>
      <c r="O386" t="s">
        <v>1366</v>
      </c>
      <c r="P386">
        <v>5.95</v>
      </c>
    </row>
    <row r="387" spans="1:16" x14ac:dyDescent="0.35">
      <c r="A387" s="5" t="str">
        <f>HYPERLINK("https://tienda.tarracoimportexport.com/index.php?id_product=5342&amp;controller=product&amp;id_lang=4", "TR006599")</f>
        <v>TR006599</v>
      </c>
      <c r="B387" t="s">
        <v>1375</v>
      </c>
      <c r="D387" s="4">
        <v>828</v>
      </c>
      <c r="E387" t="s">
        <v>1376</v>
      </c>
      <c r="F387" t="s">
        <v>16</v>
      </c>
      <c r="G387" t="s">
        <v>50</v>
      </c>
      <c r="H387">
        <v>72</v>
      </c>
      <c r="I387">
        <v>5184</v>
      </c>
      <c r="J387" t="s">
        <v>1223</v>
      </c>
      <c r="K387" s="17">
        <v>1.95</v>
      </c>
      <c r="L387" s="3">
        <f t="shared" si="6"/>
        <v>0</v>
      </c>
      <c r="N387" t="s">
        <v>1377</v>
      </c>
      <c r="O387" t="s">
        <v>1378</v>
      </c>
      <c r="P387">
        <v>0.41</v>
      </c>
    </row>
    <row r="388" spans="1:16" x14ac:dyDescent="0.35">
      <c r="A388" s="5" t="str">
        <f>HYPERLINK("https://tienda.tarracoimportexport.com/index.php?id_product=4652&amp;controller=product&amp;id_lang=4", "TR005957")</f>
        <v>TR005957</v>
      </c>
      <c r="B388" t="s">
        <v>1379</v>
      </c>
      <c r="D388" s="4">
        <v>180</v>
      </c>
      <c r="E388" t="s">
        <v>1380</v>
      </c>
      <c r="F388" t="s">
        <v>16</v>
      </c>
      <c r="G388" t="s">
        <v>17</v>
      </c>
      <c r="H388">
        <v>30</v>
      </c>
      <c r="I388">
        <v>3000</v>
      </c>
      <c r="J388" t="s">
        <v>1140</v>
      </c>
      <c r="K388" s="17">
        <v>1.95</v>
      </c>
      <c r="L388" s="3">
        <f t="shared" si="6"/>
        <v>0</v>
      </c>
      <c r="N388" t="s">
        <v>1381</v>
      </c>
      <c r="O388" t="s">
        <v>1382</v>
      </c>
      <c r="P388">
        <v>0.65</v>
      </c>
    </row>
    <row r="389" spans="1:16" x14ac:dyDescent="0.35">
      <c r="A389" s="5" t="str">
        <f>HYPERLINK("https://tienda.tarracoimportexport.com/index.php?id_product=8820&amp;controller=product&amp;id_lang=4", "TR009924")</f>
        <v>TR009924</v>
      </c>
      <c r="B389" t="s">
        <v>1383</v>
      </c>
      <c r="D389" s="4">
        <v>720</v>
      </c>
      <c r="E389" t="s">
        <v>1384</v>
      </c>
      <c r="F389" t="s">
        <v>16</v>
      </c>
      <c r="G389" t="s">
        <v>50</v>
      </c>
      <c r="H389">
        <v>72</v>
      </c>
      <c r="I389">
        <v>5184</v>
      </c>
      <c r="J389" t="s">
        <v>1223</v>
      </c>
      <c r="K389" s="17">
        <v>1.95</v>
      </c>
      <c r="L389" s="3">
        <f t="shared" si="6"/>
        <v>0</v>
      </c>
      <c r="N389" t="s">
        <v>1385</v>
      </c>
      <c r="O389" t="s">
        <v>1366</v>
      </c>
      <c r="P389">
        <v>0.43</v>
      </c>
    </row>
    <row r="390" spans="1:16" x14ac:dyDescent="0.35">
      <c r="A390" s="5" t="str">
        <f>HYPERLINK("https://tienda.tarracoimportexport.com/index.php?id_product=4164&amp;controller=product&amp;id_lang=4", "TR005501")</f>
        <v>TR005501</v>
      </c>
      <c r="B390" t="s">
        <v>1386</v>
      </c>
      <c r="D390" s="4">
        <v>20200</v>
      </c>
      <c r="E390" t="s">
        <v>1380</v>
      </c>
      <c r="F390" t="s">
        <v>16</v>
      </c>
      <c r="G390" t="s">
        <v>996</v>
      </c>
      <c r="H390">
        <v>6</v>
      </c>
      <c r="I390">
        <v>3000</v>
      </c>
      <c r="J390" t="s">
        <v>362</v>
      </c>
      <c r="K390" s="17">
        <v>1.95</v>
      </c>
      <c r="L390" s="3">
        <f t="shared" si="6"/>
        <v>0</v>
      </c>
      <c r="N390" t="s">
        <v>1387</v>
      </c>
      <c r="O390" t="s">
        <v>1382</v>
      </c>
      <c r="P390">
        <v>3.66</v>
      </c>
    </row>
    <row r="391" spans="1:16" x14ac:dyDescent="0.35">
      <c r="A391" s="5" t="str">
        <f>HYPERLINK("https://tienda.tarracoimportexport.com/index.php?id_product=5338&amp;controller=product&amp;id_lang=4", "TR006595")</f>
        <v>TR006595</v>
      </c>
      <c r="B391" t="s">
        <v>1386</v>
      </c>
      <c r="D391" s="4">
        <v>14400</v>
      </c>
      <c r="E391" t="s">
        <v>1380</v>
      </c>
      <c r="F391" t="s">
        <v>16</v>
      </c>
      <c r="G391" t="s">
        <v>47</v>
      </c>
      <c r="H391">
        <v>6</v>
      </c>
      <c r="I391">
        <v>5184</v>
      </c>
      <c r="J391" t="s">
        <v>22</v>
      </c>
      <c r="K391" s="17">
        <v>1.95</v>
      </c>
      <c r="L391" s="3">
        <f t="shared" si="6"/>
        <v>0</v>
      </c>
      <c r="N391" t="s">
        <v>1388</v>
      </c>
      <c r="O391" t="s">
        <v>1378</v>
      </c>
      <c r="P391">
        <v>5.53</v>
      </c>
    </row>
    <row r="392" spans="1:16" x14ac:dyDescent="0.35">
      <c r="A392" s="5" t="str">
        <f>HYPERLINK("https://tienda.tarracoimportexport.com/index.php?id_product=8819&amp;controller=product&amp;id_lang=4", "TR009923")</f>
        <v>TR009923</v>
      </c>
      <c r="B392" t="s">
        <v>1386</v>
      </c>
      <c r="D392" s="4">
        <v>7344</v>
      </c>
      <c r="E392" t="s">
        <v>1384</v>
      </c>
      <c r="F392" t="s">
        <v>16</v>
      </c>
      <c r="G392" t="s">
        <v>47</v>
      </c>
      <c r="H392">
        <v>6</v>
      </c>
      <c r="I392">
        <v>5184</v>
      </c>
      <c r="J392" t="s">
        <v>22</v>
      </c>
      <c r="K392" s="17">
        <v>1.95</v>
      </c>
      <c r="L392" s="3">
        <f t="shared" si="6"/>
        <v>0</v>
      </c>
      <c r="N392" t="s">
        <v>1389</v>
      </c>
      <c r="O392" t="s">
        <v>1366</v>
      </c>
      <c r="P392">
        <v>5.79</v>
      </c>
    </row>
    <row r="393" spans="1:16" x14ac:dyDescent="0.35">
      <c r="A393" s="5" t="str">
        <f>HYPERLINK("https://tienda.tarracoimportexport.com/index.php?id_product=8073&amp;controller=product&amp;id_lang=4", "TR009231")</f>
        <v>TR009231</v>
      </c>
      <c r="B393" t="s">
        <v>1390</v>
      </c>
      <c r="D393" s="4">
        <v>924</v>
      </c>
      <c r="E393" t="s">
        <v>1391</v>
      </c>
      <c r="F393" t="s">
        <v>16</v>
      </c>
      <c r="G393" t="s">
        <v>50</v>
      </c>
      <c r="H393">
        <v>72</v>
      </c>
      <c r="I393">
        <v>5184</v>
      </c>
      <c r="J393" t="s">
        <v>1223</v>
      </c>
      <c r="K393" s="17">
        <v>1.95</v>
      </c>
      <c r="L393" s="3">
        <f t="shared" si="6"/>
        <v>0</v>
      </c>
      <c r="N393" t="s">
        <v>1392</v>
      </c>
      <c r="O393" t="s">
        <v>1366</v>
      </c>
      <c r="P393">
        <v>0.44</v>
      </c>
    </row>
    <row r="394" spans="1:16" x14ac:dyDescent="0.35">
      <c r="A394" s="5" t="str">
        <f>HYPERLINK("https://tienda.tarracoimportexport.com/index.php?id_product=8072&amp;controller=product&amp;id_lang=4", "TR009230")</f>
        <v>TR009230</v>
      </c>
      <c r="B394" t="s">
        <v>1393</v>
      </c>
      <c r="D394" s="4">
        <v>27648</v>
      </c>
      <c r="E394" t="s">
        <v>1391</v>
      </c>
      <c r="F394" t="s">
        <v>16</v>
      </c>
      <c r="G394" t="s">
        <v>47</v>
      </c>
      <c r="H394">
        <v>6</v>
      </c>
      <c r="I394">
        <v>5184</v>
      </c>
      <c r="J394" t="s">
        <v>22</v>
      </c>
      <c r="K394" s="17">
        <v>1.95</v>
      </c>
      <c r="L394" s="3">
        <f t="shared" si="6"/>
        <v>0</v>
      </c>
      <c r="N394" t="s">
        <v>1394</v>
      </c>
      <c r="O394" t="s">
        <v>1366</v>
      </c>
      <c r="P394">
        <v>5.86</v>
      </c>
    </row>
    <row r="395" spans="1:16" x14ac:dyDescent="0.35">
      <c r="A395" s="5" t="str">
        <f>HYPERLINK("https://tienda.tarracoimportexport.com/index.php?id_product=5341&amp;controller=product&amp;id_lang=4", "TR006598")</f>
        <v>TR006598</v>
      </c>
      <c r="B395" t="s">
        <v>1395</v>
      </c>
      <c r="D395" s="4">
        <v>660</v>
      </c>
      <c r="E395" t="s">
        <v>1396</v>
      </c>
      <c r="F395" t="s">
        <v>16</v>
      </c>
      <c r="G395" t="s">
        <v>50</v>
      </c>
      <c r="H395">
        <v>72</v>
      </c>
      <c r="I395">
        <v>5184</v>
      </c>
      <c r="J395" t="s">
        <v>1223</v>
      </c>
      <c r="K395" s="17">
        <v>1.95</v>
      </c>
      <c r="L395" s="3">
        <f t="shared" si="6"/>
        <v>0</v>
      </c>
      <c r="N395" t="s">
        <v>1397</v>
      </c>
      <c r="O395" t="s">
        <v>1378</v>
      </c>
      <c r="P395">
        <v>0.45</v>
      </c>
    </row>
    <row r="396" spans="1:16" x14ac:dyDescent="0.35">
      <c r="A396" s="5" t="str">
        <f>HYPERLINK("https://tienda.tarracoimportexport.com/index.php?id_product=4651&amp;controller=product&amp;id_lang=4", "TR005956")</f>
        <v>TR005956</v>
      </c>
      <c r="B396" t="s">
        <v>1398</v>
      </c>
      <c r="D396" s="4">
        <v>160</v>
      </c>
      <c r="E396" t="s">
        <v>1399</v>
      </c>
      <c r="F396" t="s">
        <v>16</v>
      </c>
      <c r="G396" t="s">
        <v>17</v>
      </c>
      <c r="H396">
        <v>30</v>
      </c>
      <c r="I396">
        <v>3000</v>
      </c>
      <c r="J396" t="s">
        <v>1140</v>
      </c>
      <c r="K396" s="17">
        <v>1.95</v>
      </c>
      <c r="L396" s="3">
        <f t="shared" si="6"/>
        <v>0</v>
      </c>
      <c r="N396" t="s">
        <v>1400</v>
      </c>
      <c r="O396" t="s">
        <v>1382</v>
      </c>
      <c r="P396">
        <v>0.65</v>
      </c>
    </row>
    <row r="397" spans="1:16" x14ac:dyDescent="0.35">
      <c r="A397" s="5" t="str">
        <f>HYPERLINK("https://tienda.tarracoimportexport.com/index.php?id_product=5337&amp;controller=product&amp;id_lang=4", "TR006594")</f>
        <v>TR006594</v>
      </c>
      <c r="B397" t="s">
        <v>1401</v>
      </c>
      <c r="D397" s="4">
        <v>24624</v>
      </c>
      <c r="E397" t="s">
        <v>1396</v>
      </c>
      <c r="F397" t="s">
        <v>16</v>
      </c>
      <c r="G397" t="s">
        <v>47</v>
      </c>
      <c r="H397">
        <v>6</v>
      </c>
      <c r="I397">
        <v>5184</v>
      </c>
      <c r="J397" t="s">
        <v>22</v>
      </c>
      <c r="K397" s="17">
        <v>1.95</v>
      </c>
      <c r="L397" s="3">
        <f t="shared" si="6"/>
        <v>0</v>
      </c>
      <c r="N397" t="s">
        <v>1402</v>
      </c>
      <c r="O397" t="s">
        <v>1378</v>
      </c>
      <c r="P397">
        <v>5.96</v>
      </c>
    </row>
    <row r="398" spans="1:16" x14ac:dyDescent="0.35">
      <c r="A398" s="5" t="str">
        <f>HYPERLINK("https://tienda.tarracoimportexport.com/index.php?id_product=4165&amp;controller=product&amp;id_lang=4", "TR005502")</f>
        <v>TR005502</v>
      </c>
      <c r="B398" t="s">
        <v>1401</v>
      </c>
      <c r="D398" s="4">
        <v>2600</v>
      </c>
      <c r="E398" t="s">
        <v>1399</v>
      </c>
      <c r="F398" t="s">
        <v>16</v>
      </c>
      <c r="G398" t="s">
        <v>996</v>
      </c>
      <c r="H398">
        <v>6</v>
      </c>
      <c r="I398">
        <v>3000</v>
      </c>
      <c r="J398" t="s">
        <v>362</v>
      </c>
      <c r="K398" s="17">
        <v>1.95</v>
      </c>
      <c r="L398" s="3">
        <f t="shared" si="6"/>
        <v>0</v>
      </c>
      <c r="N398" t="s">
        <v>1403</v>
      </c>
      <c r="O398" t="s">
        <v>1382</v>
      </c>
      <c r="P398">
        <v>3.79</v>
      </c>
    </row>
    <row r="399" spans="1:16" x14ac:dyDescent="0.35">
      <c r="A399" s="5" t="str">
        <f>HYPERLINK("https://tienda.tarracoimportexport.com/index.php?id_product=7437&amp;controller=product&amp;id_lang=4", "TR008615")</f>
        <v>TR008615</v>
      </c>
      <c r="B399" t="s">
        <v>1404</v>
      </c>
      <c r="D399" s="4">
        <v>24</v>
      </c>
      <c r="E399" t="s">
        <v>1405</v>
      </c>
      <c r="F399" t="s">
        <v>16</v>
      </c>
      <c r="G399" t="s">
        <v>50</v>
      </c>
      <c r="H399">
        <v>72</v>
      </c>
      <c r="I399">
        <v>5184</v>
      </c>
      <c r="J399" t="s">
        <v>1223</v>
      </c>
      <c r="K399" s="17">
        <v>1.95</v>
      </c>
      <c r="L399" s="3">
        <f t="shared" si="6"/>
        <v>0</v>
      </c>
      <c r="N399" t="s">
        <v>1406</v>
      </c>
      <c r="O399" t="s">
        <v>1366</v>
      </c>
      <c r="P399">
        <v>0.435</v>
      </c>
    </row>
    <row r="400" spans="1:16" x14ac:dyDescent="0.35">
      <c r="A400" s="5" t="str">
        <f>HYPERLINK("https://tienda.tarracoimportexport.com/index.php?id_product=7433&amp;controller=product&amp;id_lang=4", "TR008611")</f>
        <v>TR008611</v>
      </c>
      <c r="B400" t="s">
        <v>1407</v>
      </c>
      <c r="D400" s="4">
        <v>64080</v>
      </c>
      <c r="E400" t="s">
        <v>1405</v>
      </c>
      <c r="F400" t="s">
        <v>16</v>
      </c>
      <c r="G400" t="s">
        <v>47</v>
      </c>
      <c r="H400">
        <v>6</v>
      </c>
      <c r="I400">
        <v>5184</v>
      </c>
      <c r="J400" t="s">
        <v>22</v>
      </c>
      <c r="K400" s="17">
        <v>1.95</v>
      </c>
      <c r="L400" s="3">
        <f t="shared" si="6"/>
        <v>0</v>
      </c>
      <c r="N400" t="s">
        <v>1408</v>
      </c>
      <c r="O400" t="s">
        <v>1366</v>
      </c>
      <c r="P400">
        <v>5.79</v>
      </c>
    </row>
    <row r="401" spans="1:16" x14ac:dyDescent="0.35">
      <c r="A401" s="5" t="str">
        <f>HYPERLINK("https://tienda.tarracoimportexport.com/index.php?id_product=4650&amp;controller=product&amp;id_lang=4", "TR005955")</f>
        <v>TR005955</v>
      </c>
      <c r="B401" t="s">
        <v>1409</v>
      </c>
      <c r="D401" s="4">
        <v>400</v>
      </c>
      <c r="E401" t="s">
        <v>1410</v>
      </c>
      <c r="F401" t="s">
        <v>16</v>
      </c>
      <c r="G401" t="s">
        <v>17</v>
      </c>
      <c r="H401">
        <v>30</v>
      </c>
      <c r="I401">
        <v>3000</v>
      </c>
      <c r="J401" t="s">
        <v>1140</v>
      </c>
      <c r="K401" s="17">
        <v>1.95</v>
      </c>
      <c r="L401" s="3">
        <f t="shared" si="6"/>
        <v>0</v>
      </c>
      <c r="N401" t="s">
        <v>1411</v>
      </c>
      <c r="O401" t="s">
        <v>1382</v>
      </c>
      <c r="P401">
        <v>0.65</v>
      </c>
    </row>
    <row r="402" spans="1:16" x14ac:dyDescent="0.35">
      <c r="A402" s="5" t="str">
        <f>HYPERLINK("https://tienda.tarracoimportexport.com/index.php?id_product=5333&amp;controller=product&amp;id_lang=4", "TR006591")</f>
        <v>TR006591</v>
      </c>
      <c r="B402" t="s">
        <v>1412</v>
      </c>
      <c r="D402" s="4">
        <v>11088</v>
      </c>
      <c r="E402" t="s">
        <v>1410</v>
      </c>
      <c r="F402" t="s">
        <v>16</v>
      </c>
      <c r="G402" t="s">
        <v>47</v>
      </c>
      <c r="H402">
        <v>6</v>
      </c>
      <c r="I402">
        <v>5184</v>
      </c>
      <c r="J402" t="s">
        <v>22</v>
      </c>
      <c r="K402" s="17">
        <v>1.95</v>
      </c>
      <c r="L402" s="3">
        <f t="shared" si="6"/>
        <v>0</v>
      </c>
      <c r="N402" t="s">
        <v>1413</v>
      </c>
      <c r="O402" t="s">
        <v>1378</v>
      </c>
      <c r="P402">
        <v>5.4950000000000001</v>
      </c>
    </row>
    <row r="403" spans="1:16" x14ac:dyDescent="0.35">
      <c r="A403" s="5" t="str">
        <f>HYPERLINK("https://tienda.tarracoimportexport.com/index.php?id_product=4163&amp;controller=product&amp;id_lang=4", "TR005500")</f>
        <v>TR005500</v>
      </c>
      <c r="B403" t="s">
        <v>1412</v>
      </c>
      <c r="D403" s="4">
        <v>10500</v>
      </c>
      <c r="E403" t="s">
        <v>1410</v>
      </c>
      <c r="F403" t="s">
        <v>16</v>
      </c>
      <c r="G403" t="s">
        <v>996</v>
      </c>
      <c r="H403">
        <v>6</v>
      </c>
      <c r="I403">
        <v>3000</v>
      </c>
      <c r="J403" t="s">
        <v>362</v>
      </c>
      <c r="K403" s="17">
        <v>1.95</v>
      </c>
      <c r="L403" s="3">
        <f t="shared" si="6"/>
        <v>0</v>
      </c>
      <c r="N403" t="s">
        <v>1414</v>
      </c>
      <c r="O403" t="s">
        <v>1382</v>
      </c>
      <c r="P403">
        <v>3.54</v>
      </c>
    </row>
    <row r="404" spans="1:16" x14ac:dyDescent="0.35">
      <c r="A404" s="5" t="str">
        <f>HYPERLINK("https://tienda.tarracoimportexport.com/index.php?id_product=5340&amp;controller=product&amp;id_lang=4", "TR006597")</f>
        <v>TR006597</v>
      </c>
      <c r="B404" t="s">
        <v>1415</v>
      </c>
      <c r="D404" s="4">
        <v>132</v>
      </c>
      <c r="E404" t="s">
        <v>1416</v>
      </c>
      <c r="F404" t="s">
        <v>16</v>
      </c>
      <c r="G404" t="s">
        <v>50</v>
      </c>
      <c r="H404">
        <v>72</v>
      </c>
      <c r="I404">
        <v>5184</v>
      </c>
      <c r="J404" t="s">
        <v>1223</v>
      </c>
      <c r="K404" s="17">
        <v>1.95</v>
      </c>
      <c r="L404" s="3">
        <f t="shared" si="6"/>
        <v>0</v>
      </c>
      <c r="N404" t="s">
        <v>1417</v>
      </c>
      <c r="O404" t="s">
        <v>1378</v>
      </c>
      <c r="P404">
        <v>0.41</v>
      </c>
    </row>
    <row r="405" spans="1:16" x14ac:dyDescent="0.35">
      <c r="A405" s="5" t="str">
        <f>HYPERLINK("https://tienda.tarracoimportexport.com/index.php?id_product=4649&amp;controller=product&amp;id_lang=4", "TR005954")</f>
        <v>TR005954</v>
      </c>
      <c r="B405" t="s">
        <v>1418</v>
      </c>
      <c r="D405" s="4">
        <v>320</v>
      </c>
      <c r="E405" t="s">
        <v>1416</v>
      </c>
      <c r="F405" t="s">
        <v>16</v>
      </c>
      <c r="G405" t="s">
        <v>17</v>
      </c>
      <c r="H405">
        <v>30</v>
      </c>
      <c r="I405">
        <v>3000</v>
      </c>
      <c r="J405" t="s">
        <v>1140</v>
      </c>
      <c r="K405" s="17">
        <v>1.95</v>
      </c>
      <c r="L405" s="3">
        <f t="shared" si="6"/>
        <v>0</v>
      </c>
      <c r="N405" t="s">
        <v>1419</v>
      </c>
      <c r="O405" t="s">
        <v>1382</v>
      </c>
      <c r="P405">
        <v>0.65</v>
      </c>
    </row>
    <row r="406" spans="1:16" x14ac:dyDescent="0.35">
      <c r="A406" s="5" t="str">
        <f>HYPERLINK("https://tienda.tarracoimportexport.com/index.php?id_product=4162&amp;controller=product&amp;id_lang=4", "TR005499")</f>
        <v>TR005499</v>
      </c>
      <c r="B406" t="s">
        <v>1420</v>
      </c>
      <c r="D406" s="4">
        <v>1500</v>
      </c>
      <c r="E406" t="s">
        <v>1416</v>
      </c>
      <c r="F406" t="s">
        <v>16</v>
      </c>
      <c r="G406" t="s">
        <v>996</v>
      </c>
      <c r="H406">
        <v>6</v>
      </c>
      <c r="I406">
        <v>3000</v>
      </c>
      <c r="J406" t="s">
        <v>362</v>
      </c>
      <c r="K406" s="17">
        <v>1.95</v>
      </c>
      <c r="L406" s="3">
        <f t="shared" si="6"/>
        <v>0</v>
      </c>
      <c r="N406" t="s">
        <v>1421</v>
      </c>
      <c r="O406" t="s">
        <v>1382</v>
      </c>
      <c r="P406">
        <v>3.51</v>
      </c>
    </row>
    <row r="407" spans="1:16" x14ac:dyDescent="0.35">
      <c r="A407" s="5" t="str">
        <f>HYPERLINK("https://tienda.tarracoimportexport.com/index.php?id_product=5336&amp;controller=product&amp;id_lang=4", "TR006593")</f>
        <v>TR006593</v>
      </c>
      <c r="B407" t="s">
        <v>1420</v>
      </c>
      <c r="D407" s="4">
        <v>14400</v>
      </c>
      <c r="E407" t="s">
        <v>1416</v>
      </c>
      <c r="F407" t="s">
        <v>16</v>
      </c>
      <c r="G407" t="s">
        <v>47</v>
      </c>
      <c r="H407">
        <v>6</v>
      </c>
      <c r="I407">
        <v>5184</v>
      </c>
      <c r="J407" t="s">
        <v>22</v>
      </c>
      <c r="K407" s="17">
        <v>1.95</v>
      </c>
      <c r="L407" s="3">
        <f t="shared" si="6"/>
        <v>0</v>
      </c>
      <c r="N407" t="s">
        <v>1422</v>
      </c>
      <c r="O407" t="s">
        <v>1378</v>
      </c>
      <c r="P407">
        <v>5.5350000000000001</v>
      </c>
    </row>
    <row r="408" spans="1:16" x14ac:dyDescent="0.35">
      <c r="A408" s="5" t="str">
        <f>HYPERLINK("https://tienda.tarracoimportexport.com/index.php?id_product=7995&amp;controller=product&amp;id_lang=4", "TR009155")</f>
        <v>TR009155</v>
      </c>
      <c r="B408" t="s">
        <v>1423</v>
      </c>
      <c r="D408" s="4">
        <v>44720</v>
      </c>
      <c r="E408" t="s">
        <v>1424</v>
      </c>
      <c r="F408" t="s">
        <v>16</v>
      </c>
      <c r="G408" t="s">
        <v>17</v>
      </c>
      <c r="H408">
        <v>12</v>
      </c>
      <c r="I408">
        <v>1920</v>
      </c>
      <c r="J408" t="s">
        <v>374</v>
      </c>
      <c r="K408" s="17">
        <v>0.75</v>
      </c>
      <c r="L408" s="3">
        <f t="shared" si="6"/>
        <v>0</v>
      </c>
      <c r="N408" t="s">
        <v>1425</v>
      </c>
      <c r="O408" t="s">
        <v>1426</v>
      </c>
      <c r="P408">
        <v>1.73</v>
      </c>
    </row>
    <row r="409" spans="1:16" x14ac:dyDescent="0.35">
      <c r="A409" s="5" t="str">
        <f>HYPERLINK("https://tienda.tarracoimportexport.com/index.php?id_product=7361&amp;controller=product&amp;id_lang=4", "TR008542")</f>
        <v>TR008542</v>
      </c>
      <c r="B409" t="s">
        <v>1427</v>
      </c>
      <c r="D409" s="4">
        <v>5400</v>
      </c>
      <c r="E409" t="s">
        <v>1428</v>
      </c>
      <c r="F409" t="s">
        <v>16</v>
      </c>
      <c r="G409" t="s">
        <v>63</v>
      </c>
      <c r="H409">
        <v>12</v>
      </c>
      <c r="I409">
        <v>7200</v>
      </c>
      <c r="J409" t="s">
        <v>516</v>
      </c>
      <c r="K409" s="17">
        <v>0.76</v>
      </c>
      <c r="L409" s="3">
        <f t="shared" si="6"/>
        <v>0</v>
      </c>
      <c r="N409" t="s">
        <v>1429</v>
      </c>
      <c r="O409" t="s">
        <v>1276</v>
      </c>
      <c r="P409">
        <v>2.2549999999999999</v>
      </c>
    </row>
    <row r="410" spans="1:16" x14ac:dyDescent="0.35">
      <c r="A410" s="5" t="str">
        <f>HYPERLINK("https://tienda.tarracoimportexport.com/index.php?id_product=9569&amp;controller=product&amp;id_lang=4", "TR010626")</f>
        <v>TR010626</v>
      </c>
      <c r="B410" t="s">
        <v>1430</v>
      </c>
      <c r="D410" s="4">
        <v>103160</v>
      </c>
      <c r="E410" t="s">
        <v>1431</v>
      </c>
      <c r="F410" t="s">
        <v>16</v>
      </c>
      <c r="G410" t="s">
        <v>186</v>
      </c>
      <c r="H410">
        <v>4</v>
      </c>
      <c r="I410">
        <v>1440</v>
      </c>
      <c r="J410" t="s">
        <v>22</v>
      </c>
      <c r="K410" s="17">
        <v>0.5</v>
      </c>
      <c r="L410" s="3">
        <f t="shared" si="6"/>
        <v>0</v>
      </c>
      <c r="N410" t="s">
        <v>1432</v>
      </c>
      <c r="O410" t="s">
        <v>1433</v>
      </c>
      <c r="P410">
        <v>6.85</v>
      </c>
    </row>
    <row r="411" spans="1:16" x14ac:dyDescent="0.35">
      <c r="A411" s="5" t="str">
        <f>HYPERLINK("https://tienda.tarracoimportexport.com/index.php?id_product=10168&amp;controller=product&amp;id_lang=4", "TR011202")</f>
        <v>TR011202</v>
      </c>
      <c r="B411" t="s">
        <v>1434</v>
      </c>
      <c r="D411" s="4">
        <v>150120</v>
      </c>
      <c r="E411" t="s">
        <v>1435</v>
      </c>
      <c r="F411" t="s">
        <v>105</v>
      </c>
      <c r="G411" t="s">
        <v>56</v>
      </c>
      <c r="H411">
        <v>14</v>
      </c>
      <c r="I411">
        <v>1134</v>
      </c>
      <c r="J411" t="s">
        <v>1436</v>
      </c>
      <c r="K411" s="17">
        <v>0.9</v>
      </c>
      <c r="L411" s="3">
        <f t="shared" si="6"/>
        <v>0</v>
      </c>
      <c r="N411" t="s">
        <v>1437</v>
      </c>
      <c r="O411" t="s">
        <v>1438</v>
      </c>
      <c r="P411">
        <v>3.59</v>
      </c>
    </row>
    <row r="412" spans="1:16" x14ac:dyDescent="0.35">
      <c r="A412" s="5" t="str">
        <f>HYPERLINK("https://tienda.tarracoimportexport.com/index.php?id_product=10167&amp;controller=product&amp;id_lang=4", "TR011201")</f>
        <v>TR011201</v>
      </c>
      <c r="B412" t="s">
        <v>1439</v>
      </c>
      <c r="D412" s="4">
        <v>136503</v>
      </c>
      <c r="E412" t="s">
        <v>1440</v>
      </c>
      <c r="F412" t="s">
        <v>125</v>
      </c>
      <c r="G412" t="s">
        <v>56</v>
      </c>
      <c r="H412">
        <v>14</v>
      </c>
      <c r="I412">
        <v>1134</v>
      </c>
      <c r="J412" t="s">
        <v>1436</v>
      </c>
      <c r="K412" s="17">
        <v>0.9</v>
      </c>
      <c r="L412" s="3">
        <f t="shared" si="6"/>
        <v>0</v>
      </c>
      <c r="N412" t="s">
        <v>1441</v>
      </c>
      <c r="O412" t="s">
        <v>1442</v>
      </c>
      <c r="P412">
        <v>3.61</v>
      </c>
    </row>
    <row r="413" spans="1:16" x14ac:dyDescent="0.35">
      <c r="A413" s="5" t="str">
        <f>HYPERLINK("https://tienda.tarracoimportexport.com/index.php?id_product=7345&amp;controller=product&amp;id_lang=4", "TR008528")</f>
        <v>TR008528</v>
      </c>
      <c r="B413" t="s">
        <v>1443</v>
      </c>
      <c r="D413" s="4">
        <v>10014</v>
      </c>
      <c r="E413" t="s">
        <v>1444</v>
      </c>
      <c r="F413" t="s">
        <v>16</v>
      </c>
      <c r="G413" t="s">
        <v>39</v>
      </c>
      <c r="H413">
        <v>84</v>
      </c>
      <c r="I413">
        <v>4536</v>
      </c>
      <c r="J413" t="s">
        <v>983</v>
      </c>
      <c r="K413" s="17">
        <v>1.28</v>
      </c>
      <c r="L413" s="3">
        <f t="shared" si="6"/>
        <v>0</v>
      </c>
      <c r="N413" t="s">
        <v>1445</v>
      </c>
      <c r="O413" t="s">
        <v>1261</v>
      </c>
      <c r="P413">
        <v>0.77500000000000002</v>
      </c>
    </row>
    <row r="414" spans="1:16" x14ac:dyDescent="0.35">
      <c r="A414" s="5" t="str">
        <f>HYPERLINK("https://tienda.tarracoimportexport.com/index.php?id_product=7344&amp;controller=product&amp;id_lang=4", "TR008527")</f>
        <v>TR008527</v>
      </c>
      <c r="B414" t="s">
        <v>1446</v>
      </c>
      <c r="D414" s="4">
        <v>11196</v>
      </c>
      <c r="E414" t="s">
        <v>1447</v>
      </c>
      <c r="F414" t="s">
        <v>16</v>
      </c>
      <c r="G414" t="s">
        <v>39</v>
      </c>
      <c r="H414">
        <v>16</v>
      </c>
      <c r="I414">
        <v>1056</v>
      </c>
      <c r="J414" t="s">
        <v>1448</v>
      </c>
      <c r="K414" s="17">
        <v>2.2000000000000002</v>
      </c>
      <c r="L414" s="3">
        <f t="shared" si="6"/>
        <v>0</v>
      </c>
      <c r="N414" t="s">
        <v>1449</v>
      </c>
      <c r="O414" t="s">
        <v>1261</v>
      </c>
      <c r="P414">
        <v>2.8050000000000002</v>
      </c>
    </row>
    <row r="415" spans="1:16" x14ac:dyDescent="0.35">
      <c r="A415" s="5" t="str">
        <f>HYPERLINK("https://tienda.tarracoimportexport.com/index.php?id_product=7347&amp;controller=product&amp;id_lang=4", "TR008529")</f>
        <v>TR008529</v>
      </c>
      <c r="B415" t="s">
        <v>1450</v>
      </c>
      <c r="D415" s="4">
        <v>14196</v>
      </c>
      <c r="E415" t="s">
        <v>1451</v>
      </c>
      <c r="F415" t="s">
        <v>16</v>
      </c>
      <c r="G415" t="s">
        <v>50</v>
      </c>
      <c r="H415">
        <v>65</v>
      </c>
      <c r="I415">
        <v>5460</v>
      </c>
      <c r="J415" t="s">
        <v>1452</v>
      </c>
      <c r="K415" s="17">
        <v>1.92</v>
      </c>
      <c r="L415" s="3">
        <f t="shared" si="6"/>
        <v>0</v>
      </c>
      <c r="N415" t="s">
        <v>1453</v>
      </c>
      <c r="O415" t="s">
        <v>1454</v>
      </c>
      <c r="P415">
        <v>0.97499999999999998</v>
      </c>
    </row>
    <row r="416" spans="1:16" x14ac:dyDescent="0.35">
      <c r="A416" s="5" t="str">
        <f>HYPERLINK("https://tienda.tarracoimportexport.com/index.php?id_product=7340&amp;controller=product&amp;id_lang=4", "TR008526")</f>
        <v>TR008526</v>
      </c>
      <c r="B416" t="s">
        <v>1455</v>
      </c>
      <c r="D416" s="4">
        <v>22362</v>
      </c>
      <c r="E416" t="s">
        <v>1456</v>
      </c>
      <c r="F416" t="s">
        <v>16</v>
      </c>
      <c r="G416" t="s">
        <v>39</v>
      </c>
      <c r="H416">
        <v>35</v>
      </c>
      <c r="I416">
        <v>1260</v>
      </c>
      <c r="J416" t="s">
        <v>945</v>
      </c>
      <c r="K416" s="17">
        <v>1.96</v>
      </c>
      <c r="L416" s="3">
        <f t="shared" si="6"/>
        <v>0</v>
      </c>
      <c r="N416" t="s">
        <v>1457</v>
      </c>
      <c r="O416" t="s">
        <v>1261</v>
      </c>
      <c r="P416">
        <v>3.375</v>
      </c>
    </row>
    <row r="417" spans="1:16" x14ac:dyDescent="0.35">
      <c r="A417" s="5" t="str">
        <f>HYPERLINK("https://tienda.tarracoimportexport.com/index.php?id_product=9677&amp;controller=product&amp;id_lang=4", "TR010728")</f>
        <v>TR010728</v>
      </c>
      <c r="B417" t="s">
        <v>1458</v>
      </c>
      <c r="D417" s="4">
        <v>264</v>
      </c>
      <c r="E417" t="s">
        <v>1459</v>
      </c>
      <c r="F417" t="s">
        <v>16</v>
      </c>
      <c r="G417" t="s">
        <v>39</v>
      </c>
      <c r="H417">
        <v>120</v>
      </c>
      <c r="I417">
        <v>7200</v>
      </c>
      <c r="J417" t="s">
        <v>1460</v>
      </c>
      <c r="K417" s="17">
        <v>1.29</v>
      </c>
      <c r="L417" s="3">
        <f t="shared" si="6"/>
        <v>0</v>
      </c>
      <c r="N417" t="s">
        <v>1461</v>
      </c>
      <c r="O417" t="s">
        <v>1462</v>
      </c>
      <c r="P417">
        <v>0.5</v>
      </c>
    </row>
    <row r="418" spans="1:16" x14ac:dyDescent="0.35">
      <c r="A418" s="5" t="str">
        <f>HYPERLINK("https://tienda.tarracoimportexport.com/index.php?id_product=9676&amp;controller=product&amp;id_lang=4", "TR010727")</f>
        <v>TR010727</v>
      </c>
      <c r="B418" t="s">
        <v>1463</v>
      </c>
      <c r="D418" s="4">
        <v>5100</v>
      </c>
      <c r="E418" t="s">
        <v>1459</v>
      </c>
      <c r="F418" t="s">
        <v>16</v>
      </c>
      <c r="G418" t="s">
        <v>516</v>
      </c>
      <c r="H418">
        <v>2</v>
      </c>
      <c r="I418">
        <v>600</v>
      </c>
      <c r="J418" t="s">
        <v>27</v>
      </c>
      <c r="K418" s="17">
        <v>1.29</v>
      </c>
      <c r="L418" s="3">
        <f t="shared" si="6"/>
        <v>0</v>
      </c>
      <c r="N418" t="s">
        <v>1464</v>
      </c>
      <c r="O418" t="s">
        <v>1462</v>
      </c>
      <c r="P418">
        <v>5.8</v>
      </c>
    </row>
    <row r="419" spans="1:16" x14ac:dyDescent="0.35">
      <c r="A419" s="5" t="str">
        <f>HYPERLINK("https://tienda.tarracoimportexport.com/index.php?id_product=8023&amp;controller=product&amp;id_lang=4", "TR009183")</f>
        <v>TR009183</v>
      </c>
      <c r="B419" t="s">
        <v>1465</v>
      </c>
      <c r="D419" s="4">
        <v>22848</v>
      </c>
      <c r="E419" t="s">
        <v>1466</v>
      </c>
      <c r="F419" t="s">
        <v>16</v>
      </c>
      <c r="G419" t="s">
        <v>374</v>
      </c>
      <c r="H419">
        <v>4</v>
      </c>
      <c r="I419">
        <v>1536</v>
      </c>
      <c r="J419" t="s">
        <v>290</v>
      </c>
      <c r="K419" s="17">
        <v>1.6</v>
      </c>
      <c r="L419" s="3">
        <f t="shared" si="6"/>
        <v>0</v>
      </c>
      <c r="N419" t="s">
        <v>1467</v>
      </c>
      <c r="O419" t="s">
        <v>1468</v>
      </c>
      <c r="P419">
        <v>8</v>
      </c>
    </row>
    <row r="420" spans="1:16" x14ac:dyDescent="0.35">
      <c r="A420" s="5" t="str">
        <f>HYPERLINK("https://tienda.tarracoimportexport.com/index.php?id_product=7981&amp;controller=product&amp;id_lang=4", "TR009141")</f>
        <v>TR009141</v>
      </c>
      <c r="B420" t="s">
        <v>1469</v>
      </c>
      <c r="D420" s="4">
        <v>67104</v>
      </c>
      <c r="E420" t="s">
        <v>1470</v>
      </c>
      <c r="F420" t="s">
        <v>16</v>
      </c>
      <c r="G420" t="s">
        <v>374</v>
      </c>
      <c r="H420">
        <v>4</v>
      </c>
      <c r="I420">
        <v>1920</v>
      </c>
      <c r="J420" t="s">
        <v>17</v>
      </c>
      <c r="K420" s="17">
        <v>1.6</v>
      </c>
      <c r="L420" s="3">
        <f t="shared" si="6"/>
        <v>0</v>
      </c>
      <c r="N420" t="s">
        <v>1471</v>
      </c>
      <c r="O420" t="s">
        <v>1468</v>
      </c>
      <c r="P420">
        <v>8.4499999999999993</v>
      </c>
    </row>
    <row r="421" spans="1:16" x14ac:dyDescent="0.35">
      <c r="A421" s="5" t="str">
        <f>HYPERLINK("https://tienda.tarracoimportexport.com/index.php?id_product=8082&amp;controller=product&amp;id_lang=4", "TR009240")</f>
        <v>TR009240</v>
      </c>
      <c r="B421" t="s">
        <v>1472</v>
      </c>
      <c r="D421" s="4">
        <v>1428</v>
      </c>
      <c r="E421" t="s">
        <v>1470</v>
      </c>
      <c r="F421" t="s">
        <v>16</v>
      </c>
      <c r="G421" t="s">
        <v>50</v>
      </c>
      <c r="H421">
        <v>32</v>
      </c>
      <c r="I421">
        <v>7680</v>
      </c>
      <c r="J421" t="s">
        <v>1473</v>
      </c>
      <c r="K421" s="17">
        <v>1.6</v>
      </c>
      <c r="L421" s="3">
        <f t="shared" si="6"/>
        <v>0</v>
      </c>
      <c r="N421" t="s">
        <v>1474</v>
      </c>
      <c r="O421" t="s">
        <v>1468</v>
      </c>
      <c r="P421">
        <v>0.8</v>
      </c>
    </row>
    <row r="422" spans="1:16" x14ac:dyDescent="0.35">
      <c r="A422" s="5" t="str">
        <f>HYPERLINK("https://tienda.tarracoimportexport.com/index.php?id_product=10437&amp;controller=product&amp;id_lang=4", "TR011424")</f>
        <v>TR011424</v>
      </c>
      <c r="B422" t="s">
        <v>1475</v>
      </c>
      <c r="D422" s="4">
        <v>15720</v>
      </c>
      <c r="E422" t="s">
        <v>1476</v>
      </c>
      <c r="F422" t="s">
        <v>16</v>
      </c>
      <c r="G422" t="s">
        <v>186</v>
      </c>
      <c r="H422">
        <v>8</v>
      </c>
      <c r="I422">
        <v>2240</v>
      </c>
      <c r="J422" t="s">
        <v>539</v>
      </c>
      <c r="K422" s="17">
        <v>0.59</v>
      </c>
      <c r="L422" s="3">
        <f t="shared" si="6"/>
        <v>0</v>
      </c>
      <c r="N422" t="s">
        <v>1477</v>
      </c>
      <c r="O422" t="s">
        <v>24</v>
      </c>
      <c r="P422">
        <v>3.57</v>
      </c>
    </row>
    <row r="423" spans="1:16" x14ac:dyDescent="0.35">
      <c r="A423" s="5" t="str">
        <f>HYPERLINK("https://tienda.tarracoimportexport.com/index.php?id_product=7729&amp;controller=product&amp;id_lang=4", "TR008895")</f>
        <v>TR008895</v>
      </c>
      <c r="B423" t="s">
        <v>1478</v>
      </c>
      <c r="D423" s="4">
        <v>39120</v>
      </c>
      <c r="E423" t="s">
        <v>1479</v>
      </c>
      <c r="F423" t="s">
        <v>16</v>
      </c>
      <c r="G423" t="s">
        <v>63</v>
      </c>
      <c r="H423">
        <v>6</v>
      </c>
      <c r="I423">
        <v>2160</v>
      </c>
      <c r="J423" t="s">
        <v>21</v>
      </c>
      <c r="K423" s="17">
        <v>1.1000000000000001</v>
      </c>
      <c r="L423" s="3">
        <f t="shared" si="6"/>
        <v>0</v>
      </c>
      <c r="N423" t="s">
        <v>1480</v>
      </c>
      <c r="O423" t="s">
        <v>1481</v>
      </c>
      <c r="P423">
        <v>9.7349999999999994</v>
      </c>
    </row>
    <row r="424" spans="1:16" x14ac:dyDescent="0.35">
      <c r="A424" s="5" t="str">
        <f>HYPERLINK("https://tienda.tarracoimportexport.com/index.php?id_product=10624&amp;controller=product&amp;id_lang=4", "TR011599")</f>
        <v>TR011599</v>
      </c>
      <c r="B424" t="s">
        <v>1482</v>
      </c>
      <c r="D424" s="4">
        <v>228</v>
      </c>
      <c r="E424" t="s">
        <v>1479</v>
      </c>
      <c r="F424" t="s">
        <v>16</v>
      </c>
      <c r="G424" t="s">
        <v>50</v>
      </c>
      <c r="H424">
        <v>1</v>
      </c>
      <c r="I424">
        <v>12</v>
      </c>
      <c r="J424" t="s">
        <v>526</v>
      </c>
      <c r="K424" s="17">
        <v>1.1000000000000001</v>
      </c>
      <c r="L424" s="3">
        <f t="shared" si="6"/>
        <v>0</v>
      </c>
      <c r="N424" t="s">
        <v>1483</v>
      </c>
      <c r="O424" t="s">
        <v>1481</v>
      </c>
      <c r="P424">
        <v>0.9</v>
      </c>
    </row>
    <row r="425" spans="1:16" x14ac:dyDescent="0.35">
      <c r="A425" s="5" t="str">
        <f>HYPERLINK("https://tienda.tarracoimportexport.com/index.php?id_product=8024&amp;controller=product&amp;id_lang=4", "TR009184")</f>
        <v>TR009184</v>
      </c>
      <c r="B425" t="s">
        <v>1484</v>
      </c>
      <c r="D425" s="4">
        <v>96</v>
      </c>
      <c r="E425" t="s">
        <v>1485</v>
      </c>
      <c r="F425" t="s">
        <v>16</v>
      </c>
      <c r="G425" t="s">
        <v>39</v>
      </c>
      <c r="H425">
        <v>42</v>
      </c>
      <c r="I425">
        <v>1260</v>
      </c>
      <c r="J425" t="s">
        <v>945</v>
      </c>
      <c r="K425" s="17">
        <v>2.0499999999999998</v>
      </c>
      <c r="L425" s="3">
        <f t="shared" si="6"/>
        <v>0</v>
      </c>
      <c r="N425" t="s">
        <v>1486</v>
      </c>
      <c r="O425" t="s">
        <v>1252</v>
      </c>
      <c r="P425">
        <v>2.08</v>
      </c>
    </row>
    <row r="426" spans="1:16" x14ac:dyDescent="0.35">
      <c r="A426" s="5" t="str">
        <f>HYPERLINK("https://tienda.tarracoimportexport.com/index.php?id_product=10436&amp;controller=product&amp;id_lang=4", "TR011423")</f>
        <v>TR011423</v>
      </c>
      <c r="B426" t="s">
        <v>1487</v>
      </c>
      <c r="D426" s="4">
        <v>18440</v>
      </c>
      <c r="E426" t="s">
        <v>1488</v>
      </c>
      <c r="F426" t="s">
        <v>16</v>
      </c>
      <c r="G426" t="s">
        <v>186</v>
      </c>
      <c r="H426">
        <v>8</v>
      </c>
      <c r="I426">
        <v>2240</v>
      </c>
      <c r="J426" t="s">
        <v>539</v>
      </c>
      <c r="K426" s="17">
        <v>0.49</v>
      </c>
      <c r="L426" s="3">
        <f t="shared" si="6"/>
        <v>0</v>
      </c>
      <c r="N426" t="s">
        <v>1489</v>
      </c>
      <c r="O426" t="s">
        <v>1490</v>
      </c>
      <c r="P426">
        <v>2.0950000000000002</v>
      </c>
    </row>
    <row r="427" spans="1:16" x14ac:dyDescent="0.35">
      <c r="A427" s="5" t="str">
        <f>HYPERLINK("https://tienda.tarracoimportexport.com/index.php?id_product=10439&amp;controller=product&amp;id_lang=4", "TR011426")</f>
        <v>TR011426</v>
      </c>
      <c r="B427" t="s">
        <v>1491</v>
      </c>
      <c r="D427" s="4">
        <v>14600</v>
      </c>
      <c r="E427" t="s">
        <v>1492</v>
      </c>
      <c r="F427" t="s">
        <v>16</v>
      </c>
      <c r="G427" t="s">
        <v>186</v>
      </c>
      <c r="H427">
        <v>8</v>
      </c>
      <c r="I427">
        <v>1920</v>
      </c>
      <c r="J427" t="s">
        <v>202</v>
      </c>
      <c r="K427" s="17">
        <v>0.49</v>
      </c>
      <c r="L427" s="3">
        <f t="shared" si="6"/>
        <v>0</v>
      </c>
      <c r="N427" t="s">
        <v>1493</v>
      </c>
      <c r="O427" t="s">
        <v>847</v>
      </c>
      <c r="P427">
        <v>2.81</v>
      </c>
    </row>
    <row r="428" spans="1:16" x14ac:dyDescent="0.35">
      <c r="A428" s="5" t="str">
        <f>HYPERLINK("https://tienda.tarracoimportexport.com/index.php?id_product=10438&amp;controller=product&amp;id_lang=4", "TR011425")</f>
        <v>TR011425</v>
      </c>
      <c r="B428" t="s">
        <v>1494</v>
      </c>
      <c r="D428" s="4">
        <v>14960</v>
      </c>
      <c r="E428" t="s">
        <v>1495</v>
      </c>
      <c r="F428" t="s">
        <v>16</v>
      </c>
      <c r="G428" t="s">
        <v>186</v>
      </c>
      <c r="H428">
        <v>12</v>
      </c>
      <c r="I428">
        <v>1920</v>
      </c>
      <c r="J428" t="s">
        <v>202</v>
      </c>
      <c r="K428" s="17">
        <v>0.49</v>
      </c>
      <c r="L428" s="3">
        <f t="shared" si="6"/>
        <v>0</v>
      </c>
      <c r="N428" t="s">
        <v>1496</v>
      </c>
      <c r="O428" t="s">
        <v>30</v>
      </c>
      <c r="P428">
        <v>0</v>
      </c>
    </row>
    <row r="429" spans="1:16" x14ac:dyDescent="0.35">
      <c r="A429" s="5" t="str">
        <f>HYPERLINK("https://tienda.tarracoimportexport.com/index.php?id_product=7232&amp;controller=product&amp;id_lang=4", "TR008418")</f>
        <v>TR008418</v>
      </c>
      <c r="B429" t="s">
        <v>1497</v>
      </c>
      <c r="D429" s="4">
        <v>5232</v>
      </c>
      <c r="E429" t="s">
        <v>1498</v>
      </c>
      <c r="F429" t="s">
        <v>16</v>
      </c>
      <c r="G429" t="s">
        <v>50</v>
      </c>
      <c r="H429">
        <v>24</v>
      </c>
      <c r="I429">
        <v>1440</v>
      </c>
      <c r="J429" t="s">
        <v>63</v>
      </c>
      <c r="K429" s="17">
        <v>1.39</v>
      </c>
      <c r="L429" s="3">
        <f t="shared" si="6"/>
        <v>0</v>
      </c>
      <c r="N429" t="s">
        <v>1499</v>
      </c>
      <c r="O429" t="s">
        <v>1261</v>
      </c>
      <c r="P429">
        <v>4.2050000000000001</v>
      </c>
    </row>
    <row r="430" spans="1:16" x14ac:dyDescent="0.35">
      <c r="A430" s="5" t="str">
        <f>HYPERLINK("https://tienda.tarracoimportexport.com/index.php?id_product=8142&amp;controller=product&amp;id_lang=4", "TR009298")</f>
        <v>TR009298</v>
      </c>
      <c r="B430" t="s">
        <v>1500</v>
      </c>
      <c r="D430" s="4">
        <v>708</v>
      </c>
      <c r="E430" t="s">
        <v>1501</v>
      </c>
      <c r="F430" t="s">
        <v>16</v>
      </c>
      <c r="G430" t="s">
        <v>50</v>
      </c>
      <c r="H430">
        <v>20</v>
      </c>
      <c r="I430">
        <v>2400</v>
      </c>
      <c r="J430" t="s">
        <v>911</v>
      </c>
      <c r="K430" s="17">
        <v>1.1000000000000001</v>
      </c>
      <c r="L430" s="3">
        <f t="shared" si="6"/>
        <v>0</v>
      </c>
      <c r="N430" t="s">
        <v>1502</v>
      </c>
      <c r="O430" t="s">
        <v>1426</v>
      </c>
      <c r="P430">
        <v>0.68</v>
      </c>
    </row>
    <row r="431" spans="1:16" x14ac:dyDescent="0.35">
      <c r="A431" s="5" t="str">
        <f>HYPERLINK("https://tienda.tarracoimportexport.com/index.php?id_product=8140&amp;controller=product&amp;id_lang=4", "TR009296")</f>
        <v>TR009296</v>
      </c>
      <c r="B431" t="s">
        <v>1503</v>
      </c>
      <c r="D431" s="4">
        <v>7200</v>
      </c>
      <c r="E431" t="s">
        <v>1501</v>
      </c>
      <c r="F431" t="s">
        <v>16</v>
      </c>
      <c r="G431" t="s">
        <v>867</v>
      </c>
      <c r="H431">
        <v>1</v>
      </c>
      <c r="I431">
        <v>2400</v>
      </c>
      <c r="J431" t="s">
        <v>27</v>
      </c>
      <c r="K431" s="17">
        <v>1.1000000000000001</v>
      </c>
      <c r="L431" s="3">
        <f t="shared" si="6"/>
        <v>0</v>
      </c>
      <c r="N431" t="s">
        <v>1504</v>
      </c>
      <c r="O431" t="s">
        <v>1426</v>
      </c>
      <c r="P431">
        <v>15</v>
      </c>
    </row>
    <row r="432" spans="1:16" x14ac:dyDescent="0.35">
      <c r="A432" s="5" t="str">
        <f>HYPERLINK("https://tienda.tarracoimportexport.com/index.php?id_product=8141&amp;controller=product&amp;id_lang=4", "TR009297")</f>
        <v>TR009297</v>
      </c>
      <c r="B432" t="s">
        <v>1505</v>
      </c>
      <c r="D432" s="4">
        <v>372</v>
      </c>
      <c r="E432" t="s">
        <v>1506</v>
      </c>
      <c r="F432" t="s">
        <v>606</v>
      </c>
      <c r="G432" t="s">
        <v>50</v>
      </c>
      <c r="H432">
        <v>14</v>
      </c>
      <c r="I432">
        <v>1680</v>
      </c>
      <c r="J432" t="s">
        <v>379</v>
      </c>
      <c r="K432" s="17">
        <v>1.22</v>
      </c>
      <c r="L432" s="3">
        <f t="shared" si="6"/>
        <v>0</v>
      </c>
      <c r="N432" t="s">
        <v>1507</v>
      </c>
      <c r="O432" t="s">
        <v>1426</v>
      </c>
      <c r="P432">
        <v>0.95499999999999996</v>
      </c>
    </row>
    <row r="433" spans="1:16" x14ac:dyDescent="0.35">
      <c r="A433" s="5" t="str">
        <f>HYPERLINK("https://tienda.tarracoimportexport.com/index.php?id_product=8139&amp;controller=product&amp;id_lang=4", "TR009295")</f>
        <v>TR009295</v>
      </c>
      <c r="B433" t="s">
        <v>1508</v>
      </c>
      <c r="D433" s="4">
        <v>8232</v>
      </c>
      <c r="E433" t="s">
        <v>1506</v>
      </c>
      <c r="F433" t="s">
        <v>16</v>
      </c>
      <c r="G433" t="s">
        <v>363</v>
      </c>
      <c r="H433">
        <v>1</v>
      </c>
      <c r="I433">
        <v>1680</v>
      </c>
      <c r="J433" t="s">
        <v>27</v>
      </c>
      <c r="K433" s="17">
        <v>1.22</v>
      </c>
      <c r="L433" s="3">
        <f t="shared" si="6"/>
        <v>0</v>
      </c>
      <c r="N433" t="s">
        <v>1509</v>
      </c>
      <c r="O433" t="s">
        <v>1426</v>
      </c>
      <c r="P433">
        <v>15</v>
      </c>
    </row>
    <row r="434" spans="1:16" x14ac:dyDescent="0.35">
      <c r="A434" s="5" t="str">
        <f>HYPERLINK("https://tienda.tarracoimportexport.com/index.php?id_product=8580&amp;controller=product&amp;id_lang=4", "TR009718")</f>
        <v>TR009718</v>
      </c>
      <c r="B434" t="s">
        <v>1510</v>
      </c>
      <c r="D434" s="4">
        <v>21840</v>
      </c>
      <c r="E434" t="s">
        <v>1511</v>
      </c>
      <c r="F434" t="s">
        <v>16</v>
      </c>
      <c r="G434" t="s">
        <v>867</v>
      </c>
      <c r="H434">
        <v>6</v>
      </c>
      <c r="I434">
        <v>5760</v>
      </c>
      <c r="J434" t="s">
        <v>106</v>
      </c>
      <c r="K434" s="17">
        <v>0.55000000000000004</v>
      </c>
      <c r="L434" s="3">
        <f t="shared" si="6"/>
        <v>0</v>
      </c>
      <c r="N434" t="s">
        <v>1512</v>
      </c>
      <c r="O434" t="s">
        <v>1513</v>
      </c>
      <c r="P434">
        <v>8.0150000000000006</v>
      </c>
    </row>
    <row r="435" spans="1:16" x14ac:dyDescent="0.35">
      <c r="A435" s="5" t="str">
        <f>HYPERLINK("https://tienda.tarracoimportexport.com/index.php?id_product=8581&amp;controller=product&amp;id_lang=4", "TR009719")</f>
        <v>TR009719</v>
      </c>
      <c r="B435" t="s">
        <v>1514</v>
      </c>
      <c r="D435" s="4">
        <v>1872</v>
      </c>
      <c r="E435" t="s">
        <v>1511</v>
      </c>
      <c r="F435" t="s">
        <v>16</v>
      </c>
      <c r="G435" t="s">
        <v>50</v>
      </c>
      <c r="H435">
        <v>120</v>
      </c>
      <c r="I435">
        <v>5760</v>
      </c>
      <c r="J435" t="s">
        <v>1279</v>
      </c>
      <c r="K435" s="17">
        <v>0.55000000000000004</v>
      </c>
      <c r="L435" s="3">
        <f t="shared" si="6"/>
        <v>0</v>
      </c>
      <c r="N435" t="s">
        <v>1515</v>
      </c>
      <c r="O435" t="s">
        <v>1513</v>
      </c>
      <c r="P435">
        <v>0.375</v>
      </c>
    </row>
    <row r="436" spans="1:16" x14ac:dyDescent="0.35">
      <c r="A436" s="5" t="str">
        <f>HYPERLINK("https://tienda.tarracoimportexport.com/index.php?id_product=8995&amp;controller=product&amp;id_lang=4", "TR010080")</f>
        <v>TR010080</v>
      </c>
      <c r="B436" t="s">
        <v>1516</v>
      </c>
      <c r="D436" s="4">
        <v>16320</v>
      </c>
      <c r="E436" t="s">
        <v>1517</v>
      </c>
      <c r="F436" t="s">
        <v>16</v>
      </c>
      <c r="G436" t="s">
        <v>867</v>
      </c>
      <c r="H436">
        <v>9</v>
      </c>
      <c r="I436">
        <v>8640</v>
      </c>
      <c r="J436" t="s">
        <v>22</v>
      </c>
      <c r="K436" s="17">
        <v>0.6</v>
      </c>
      <c r="L436" s="3">
        <f t="shared" ref="L436:L499" si="7">K436*C436</f>
        <v>0</v>
      </c>
      <c r="N436" t="s">
        <v>1518</v>
      </c>
      <c r="O436" t="s">
        <v>1513</v>
      </c>
      <c r="P436">
        <v>3.4950000000000001</v>
      </c>
    </row>
    <row r="437" spans="1:16" x14ac:dyDescent="0.35">
      <c r="A437" s="5" t="str">
        <f>HYPERLINK("https://tienda.tarracoimportexport.com/index.php?id_product=6126&amp;controller=product&amp;id_lang=4", "TR007267")</f>
        <v>TR007267</v>
      </c>
      <c r="B437" t="s">
        <v>1519</v>
      </c>
      <c r="D437" s="4">
        <v>3330</v>
      </c>
      <c r="E437" t="s">
        <v>1520</v>
      </c>
      <c r="F437" t="s">
        <v>16</v>
      </c>
      <c r="G437" t="s">
        <v>39</v>
      </c>
      <c r="H437">
        <v>12</v>
      </c>
      <c r="I437">
        <v>936</v>
      </c>
      <c r="J437" t="s">
        <v>1521</v>
      </c>
      <c r="K437" s="17">
        <v>1.74</v>
      </c>
      <c r="L437" s="3">
        <f t="shared" si="7"/>
        <v>0</v>
      </c>
      <c r="N437" t="s">
        <v>1522</v>
      </c>
      <c r="O437" t="s">
        <v>1248</v>
      </c>
      <c r="P437">
        <v>4.72</v>
      </c>
    </row>
    <row r="438" spans="1:16" x14ac:dyDescent="0.35">
      <c r="A438" s="5" t="str">
        <f>HYPERLINK("https://tienda.tarracoimportexport.com/index.php?id_product=6157&amp;controller=product&amp;id_lang=4", "TR007295")</f>
        <v>TR007295</v>
      </c>
      <c r="B438" t="s">
        <v>1523</v>
      </c>
      <c r="D438" s="4">
        <v>2424</v>
      </c>
      <c r="E438" t="s">
        <v>1524</v>
      </c>
      <c r="F438" t="s">
        <v>16</v>
      </c>
      <c r="G438" t="s">
        <v>39</v>
      </c>
      <c r="H438">
        <v>12</v>
      </c>
      <c r="I438">
        <v>936</v>
      </c>
      <c r="J438" t="s">
        <v>1521</v>
      </c>
      <c r="K438" s="17">
        <v>1.74</v>
      </c>
      <c r="L438" s="3">
        <f t="shared" si="7"/>
        <v>0</v>
      </c>
      <c r="N438" t="s">
        <v>1525</v>
      </c>
      <c r="O438" t="s">
        <v>1261</v>
      </c>
      <c r="P438">
        <v>4.8650000000000002</v>
      </c>
    </row>
    <row r="439" spans="1:16" x14ac:dyDescent="0.35">
      <c r="A439" s="5" t="str">
        <f>HYPERLINK("https://tienda.tarracoimportexport.com/index.php?id_product=8753&amp;controller=product&amp;id_lang=4", "TR009864")</f>
        <v>TR009864</v>
      </c>
      <c r="B439" t="s">
        <v>1526</v>
      </c>
      <c r="D439" s="4">
        <v>3960</v>
      </c>
      <c r="E439" t="s">
        <v>1527</v>
      </c>
      <c r="F439" t="s">
        <v>16</v>
      </c>
      <c r="G439" t="s">
        <v>39</v>
      </c>
      <c r="H439">
        <v>12</v>
      </c>
      <c r="I439">
        <v>936</v>
      </c>
      <c r="J439" t="s">
        <v>1521</v>
      </c>
      <c r="K439" s="17">
        <v>1.74</v>
      </c>
      <c r="L439" s="3">
        <f t="shared" si="7"/>
        <v>0</v>
      </c>
      <c r="N439" t="s">
        <v>1528</v>
      </c>
      <c r="O439" t="s">
        <v>1529</v>
      </c>
      <c r="P439">
        <v>4.7549999999999999</v>
      </c>
    </row>
    <row r="440" spans="1:16" x14ac:dyDescent="0.35">
      <c r="A440" s="5" t="str">
        <f>HYPERLINK("https://tienda.tarracoimportexport.com/index.php?id_product=6125&amp;controller=product&amp;id_lang=4", "TR007266")</f>
        <v>TR007266</v>
      </c>
      <c r="B440" t="s">
        <v>1530</v>
      </c>
      <c r="D440" s="4">
        <v>3276</v>
      </c>
      <c r="E440" t="s">
        <v>1531</v>
      </c>
      <c r="F440" t="s">
        <v>16</v>
      </c>
      <c r="G440" t="s">
        <v>39</v>
      </c>
      <c r="H440">
        <v>12</v>
      </c>
      <c r="I440">
        <v>936</v>
      </c>
      <c r="J440" t="s">
        <v>1521</v>
      </c>
      <c r="K440" s="17">
        <v>1.74</v>
      </c>
      <c r="L440" s="3">
        <f t="shared" si="7"/>
        <v>0</v>
      </c>
      <c r="N440" t="s">
        <v>1532</v>
      </c>
      <c r="O440" t="s">
        <v>1248</v>
      </c>
      <c r="P440">
        <v>4.67</v>
      </c>
    </row>
    <row r="441" spans="1:16" x14ac:dyDescent="0.35">
      <c r="A441" s="5" t="str">
        <f>HYPERLINK("https://tienda.tarracoimportexport.com/index.php?id_product=7339&amp;controller=product&amp;id_lang=4", "TR008525")</f>
        <v>TR008525</v>
      </c>
      <c r="B441" t="s">
        <v>1533</v>
      </c>
      <c r="D441" s="4">
        <v>4716</v>
      </c>
      <c r="E441" t="s">
        <v>1534</v>
      </c>
      <c r="F441" t="s">
        <v>16</v>
      </c>
      <c r="G441" t="s">
        <v>50</v>
      </c>
      <c r="H441">
        <v>18</v>
      </c>
      <c r="I441">
        <v>1512</v>
      </c>
      <c r="J441" t="s">
        <v>1436</v>
      </c>
      <c r="K441" s="17">
        <v>1.55</v>
      </c>
      <c r="L441" s="3">
        <f t="shared" si="7"/>
        <v>0</v>
      </c>
      <c r="N441" t="s">
        <v>1535</v>
      </c>
      <c r="O441" t="s">
        <v>1536</v>
      </c>
      <c r="P441">
        <v>6.7549999999999999</v>
      </c>
    </row>
    <row r="442" spans="1:16" x14ac:dyDescent="0.35">
      <c r="A442" s="5" t="str">
        <f>HYPERLINK("https://tienda.tarracoimportexport.com/index.php?id_product=7719&amp;controller=product&amp;id_lang=4", "TR008885")</f>
        <v>TR008885</v>
      </c>
      <c r="B442" t="s">
        <v>1537</v>
      </c>
      <c r="D442" s="4">
        <v>37422</v>
      </c>
      <c r="E442" t="s">
        <v>1538</v>
      </c>
      <c r="F442" t="s">
        <v>164</v>
      </c>
      <c r="G442" t="s">
        <v>191</v>
      </c>
      <c r="H442">
        <v>11</v>
      </c>
      <c r="I442">
        <v>1617</v>
      </c>
      <c r="J442" t="s">
        <v>1539</v>
      </c>
      <c r="K442" s="17">
        <v>0.61</v>
      </c>
      <c r="L442" s="3">
        <f t="shared" si="7"/>
        <v>0</v>
      </c>
      <c r="N442" t="s">
        <v>1540</v>
      </c>
      <c r="O442" t="s">
        <v>1541</v>
      </c>
      <c r="P442">
        <v>4.78</v>
      </c>
    </row>
    <row r="443" spans="1:16" x14ac:dyDescent="0.35">
      <c r="A443" s="5" t="str">
        <f>HYPERLINK("https://tienda.tarracoimportexport.com/index.php?id_product=5503&amp;controller=product&amp;id_lang=4", "TR006720")</f>
        <v>TR006720</v>
      </c>
      <c r="B443" t="s">
        <v>1542</v>
      </c>
      <c r="D443" s="4">
        <v>41000</v>
      </c>
      <c r="E443" t="s">
        <v>1543</v>
      </c>
      <c r="F443" t="s">
        <v>16</v>
      </c>
      <c r="G443" t="s">
        <v>1544</v>
      </c>
      <c r="H443">
        <v>7</v>
      </c>
      <c r="I443">
        <v>14000</v>
      </c>
      <c r="J443" t="s">
        <v>530</v>
      </c>
      <c r="K443" s="17">
        <v>1.6</v>
      </c>
      <c r="L443" s="3">
        <f t="shared" si="7"/>
        <v>0</v>
      </c>
      <c r="N443" t="s">
        <v>1545</v>
      </c>
      <c r="O443" t="s">
        <v>1546</v>
      </c>
      <c r="P443">
        <v>6.0350000000000001</v>
      </c>
    </row>
    <row r="444" spans="1:16" x14ac:dyDescent="0.35">
      <c r="A444" s="5" t="str">
        <f>HYPERLINK("https://tienda.tarracoimportexport.com/index.php?id_product=5504&amp;controller=product&amp;id_lang=4", "TR006721")</f>
        <v>TR006721</v>
      </c>
      <c r="B444" t="s">
        <v>1547</v>
      </c>
      <c r="D444" s="4">
        <v>2925</v>
      </c>
      <c r="E444" t="s">
        <v>1543</v>
      </c>
      <c r="F444" t="s">
        <v>16</v>
      </c>
      <c r="G444" t="s">
        <v>185</v>
      </c>
      <c r="H444">
        <v>140</v>
      </c>
      <c r="I444">
        <v>14000</v>
      </c>
      <c r="J444" t="s">
        <v>686</v>
      </c>
      <c r="K444" s="17">
        <v>1.6</v>
      </c>
      <c r="L444" s="3">
        <f t="shared" si="7"/>
        <v>0</v>
      </c>
      <c r="N444" t="s">
        <v>1548</v>
      </c>
      <c r="O444" t="s">
        <v>1546</v>
      </c>
      <c r="P444">
        <v>0.27500000000000002</v>
      </c>
    </row>
    <row r="445" spans="1:16" x14ac:dyDescent="0.35">
      <c r="A445" s="5" t="str">
        <f>HYPERLINK("https://tienda.tarracoimportexport.com/index.php?id_product=7382&amp;controller=product&amp;id_lang=4", "TR008563")</f>
        <v>TR008563</v>
      </c>
      <c r="B445" t="s">
        <v>1549</v>
      </c>
      <c r="D445" s="4">
        <v>24000</v>
      </c>
      <c r="E445" t="s">
        <v>1550</v>
      </c>
      <c r="F445" t="s">
        <v>16</v>
      </c>
      <c r="G445" t="s">
        <v>1551</v>
      </c>
      <c r="H445">
        <v>1</v>
      </c>
      <c r="I445">
        <v>17600</v>
      </c>
      <c r="J445" t="s">
        <v>1552</v>
      </c>
      <c r="K445" s="17">
        <v>0.99</v>
      </c>
      <c r="L445" s="3">
        <f t="shared" si="7"/>
        <v>0</v>
      </c>
      <c r="N445" t="s">
        <v>1553</v>
      </c>
      <c r="O445" t="s">
        <v>1513</v>
      </c>
      <c r="P445">
        <v>13</v>
      </c>
    </row>
    <row r="446" spans="1:16" x14ac:dyDescent="0.35">
      <c r="A446" s="5" t="str">
        <f>HYPERLINK("https://tienda.tarracoimportexport.com/index.php?id_product=7759&amp;controller=product&amp;id_lang=4", "TR008924")</f>
        <v>TR008924</v>
      </c>
      <c r="B446" t="s">
        <v>1554</v>
      </c>
      <c r="D446" s="4">
        <v>440</v>
      </c>
      <c r="E446" t="s">
        <v>1550</v>
      </c>
      <c r="F446" t="s">
        <v>16</v>
      </c>
      <c r="G446" t="s">
        <v>17</v>
      </c>
      <c r="H446">
        <v>40</v>
      </c>
      <c r="I446">
        <v>17600</v>
      </c>
      <c r="J446" t="s">
        <v>1555</v>
      </c>
      <c r="K446" s="17">
        <v>0.99</v>
      </c>
      <c r="L446" s="3">
        <f t="shared" si="7"/>
        <v>0</v>
      </c>
      <c r="N446" t="s">
        <v>1556</v>
      </c>
      <c r="O446" t="s">
        <v>1513</v>
      </c>
      <c r="P446">
        <v>0.28999999999999998</v>
      </c>
    </row>
    <row r="447" spans="1:16" x14ac:dyDescent="0.35">
      <c r="A447" s="5" t="str">
        <f>HYPERLINK("https://tienda.tarracoimportexport.com/index.php?id_product=7383&amp;controller=product&amp;id_lang=4", "TR008564")</f>
        <v>TR008564</v>
      </c>
      <c r="B447" t="s">
        <v>1557</v>
      </c>
      <c r="D447" s="4">
        <v>23200</v>
      </c>
      <c r="E447" t="s">
        <v>1558</v>
      </c>
      <c r="F447" t="s">
        <v>16</v>
      </c>
      <c r="G447" t="s">
        <v>1551</v>
      </c>
      <c r="H447">
        <v>1</v>
      </c>
      <c r="I447">
        <v>17600</v>
      </c>
      <c r="J447" t="s">
        <v>1552</v>
      </c>
      <c r="K447" s="17">
        <v>0.99</v>
      </c>
      <c r="L447" s="3">
        <f t="shared" si="7"/>
        <v>0</v>
      </c>
      <c r="N447" t="s">
        <v>1559</v>
      </c>
      <c r="O447" t="s">
        <v>1513</v>
      </c>
      <c r="P447">
        <v>13</v>
      </c>
    </row>
    <row r="448" spans="1:16" x14ac:dyDescent="0.35">
      <c r="A448" s="5" t="str">
        <f>HYPERLINK("https://tienda.tarracoimportexport.com/index.php?id_product=7760&amp;controller=product&amp;id_lang=4", "TR008925")</f>
        <v>TR008925</v>
      </c>
      <c r="B448" t="s">
        <v>1560</v>
      </c>
      <c r="D448" s="4">
        <v>1240</v>
      </c>
      <c r="E448" t="s">
        <v>1558</v>
      </c>
      <c r="F448" t="s">
        <v>16</v>
      </c>
      <c r="G448" t="s">
        <v>17</v>
      </c>
      <c r="H448">
        <v>40</v>
      </c>
      <c r="I448">
        <v>17600</v>
      </c>
      <c r="J448" t="s">
        <v>1555</v>
      </c>
      <c r="K448" s="17">
        <v>0.99</v>
      </c>
      <c r="L448" s="3">
        <f t="shared" si="7"/>
        <v>0</v>
      </c>
      <c r="N448" t="s">
        <v>1561</v>
      </c>
      <c r="O448" t="s">
        <v>1513</v>
      </c>
      <c r="P448">
        <v>0.28999999999999998</v>
      </c>
    </row>
    <row r="449" spans="1:16" x14ac:dyDescent="0.35">
      <c r="A449" s="5" t="str">
        <f>HYPERLINK("https://tienda.tarracoimportexport.com/index.php?id_product=7384&amp;controller=product&amp;id_lang=4", "TR008565")</f>
        <v>TR008565</v>
      </c>
      <c r="B449" t="s">
        <v>1562</v>
      </c>
      <c r="D449" s="4">
        <v>43680</v>
      </c>
      <c r="E449" t="s">
        <v>1563</v>
      </c>
      <c r="F449" t="s">
        <v>16</v>
      </c>
      <c r="G449" t="s">
        <v>1279</v>
      </c>
      <c r="H449">
        <v>6</v>
      </c>
      <c r="I449">
        <v>11520</v>
      </c>
      <c r="J449" t="s">
        <v>106</v>
      </c>
      <c r="K449" s="17">
        <v>1.1399999999999999</v>
      </c>
      <c r="L449" s="3">
        <f t="shared" si="7"/>
        <v>0</v>
      </c>
      <c r="N449" t="s">
        <v>1564</v>
      </c>
      <c r="O449" t="s">
        <v>1513</v>
      </c>
      <c r="P449">
        <v>11.5</v>
      </c>
    </row>
    <row r="450" spans="1:16" x14ac:dyDescent="0.35">
      <c r="A450" s="5" t="str">
        <f>HYPERLINK("https://tienda.tarracoimportexport.com/index.php?id_product=7764&amp;controller=product&amp;id_lang=4", "TR008928")</f>
        <v>TR008928</v>
      </c>
      <c r="B450" t="s">
        <v>1565</v>
      </c>
      <c r="D450" s="4">
        <v>1720</v>
      </c>
      <c r="E450" t="s">
        <v>1563</v>
      </c>
      <c r="F450" t="s">
        <v>16</v>
      </c>
      <c r="G450" t="s">
        <v>17</v>
      </c>
      <c r="H450">
        <v>144</v>
      </c>
      <c r="I450">
        <v>11520</v>
      </c>
      <c r="J450" t="s">
        <v>18</v>
      </c>
      <c r="K450" s="17">
        <v>1.1399999999999999</v>
      </c>
      <c r="L450" s="3">
        <f t="shared" si="7"/>
        <v>0</v>
      </c>
      <c r="N450" t="s">
        <v>1566</v>
      </c>
      <c r="O450" t="s">
        <v>1513</v>
      </c>
      <c r="P450">
        <v>0.45</v>
      </c>
    </row>
    <row r="451" spans="1:16" x14ac:dyDescent="0.35">
      <c r="A451" s="5" t="str">
        <f>HYPERLINK("https://tienda.tarracoimportexport.com/index.php?id_product=7761&amp;controller=product&amp;id_lang=4", "TR008926")</f>
        <v>TR008926</v>
      </c>
      <c r="B451" t="s">
        <v>1567</v>
      </c>
      <c r="D451" s="4">
        <v>380</v>
      </c>
      <c r="E451" t="s">
        <v>1568</v>
      </c>
      <c r="F451" t="s">
        <v>16</v>
      </c>
      <c r="G451" t="s">
        <v>27</v>
      </c>
      <c r="H451">
        <v>10</v>
      </c>
      <c r="I451">
        <v>1800</v>
      </c>
      <c r="J451" t="s">
        <v>1569</v>
      </c>
      <c r="K451" s="17">
        <v>1.45</v>
      </c>
      <c r="L451" s="3">
        <f t="shared" si="7"/>
        <v>0</v>
      </c>
      <c r="N451" t="s">
        <v>1570</v>
      </c>
      <c r="O451" t="s">
        <v>1513</v>
      </c>
      <c r="P451">
        <v>1.155</v>
      </c>
    </row>
    <row r="452" spans="1:16" x14ac:dyDescent="0.35">
      <c r="A452" s="5" t="str">
        <f>HYPERLINK("https://tienda.tarracoimportexport.com/index.php?id_product=7381&amp;controller=product&amp;id_lang=4", "TR008562")</f>
        <v>TR008562</v>
      </c>
      <c r="B452" t="s">
        <v>1571</v>
      </c>
      <c r="D452" s="4">
        <v>19600</v>
      </c>
      <c r="E452" t="s">
        <v>1568</v>
      </c>
      <c r="F452" t="s">
        <v>606</v>
      </c>
      <c r="G452" t="s">
        <v>996</v>
      </c>
      <c r="H452">
        <v>1</v>
      </c>
      <c r="I452">
        <v>1800</v>
      </c>
      <c r="J452" t="s">
        <v>21</v>
      </c>
      <c r="K452" s="17">
        <v>1.45</v>
      </c>
      <c r="L452" s="3">
        <f t="shared" si="7"/>
        <v>0</v>
      </c>
      <c r="N452" t="s">
        <v>1572</v>
      </c>
      <c r="O452" t="s">
        <v>1513</v>
      </c>
      <c r="P452">
        <v>12.5</v>
      </c>
    </row>
    <row r="453" spans="1:16" x14ac:dyDescent="0.35">
      <c r="A453" s="5" t="str">
        <f>HYPERLINK("https://tienda.tarracoimportexport.com/index.php?id_product=9635&amp;controller=product&amp;id_lang=4", "TR010688")</f>
        <v>TR010688</v>
      </c>
      <c r="B453" t="s">
        <v>1573</v>
      </c>
      <c r="D453" s="4">
        <v>50208</v>
      </c>
      <c r="E453" t="s">
        <v>1574</v>
      </c>
      <c r="F453" t="s">
        <v>237</v>
      </c>
      <c r="G453" t="s">
        <v>106</v>
      </c>
      <c r="H453">
        <v>1</v>
      </c>
      <c r="I453">
        <v>2784</v>
      </c>
      <c r="J453" t="s">
        <v>1575</v>
      </c>
      <c r="K453" s="17">
        <v>0.55000000000000004</v>
      </c>
      <c r="L453" s="3">
        <f t="shared" si="7"/>
        <v>0</v>
      </c>
      <c r="N453" t="s">
        <v>1576</v>
      </c>
      <c r="O453" t="s">
        <v>1577</v>
      </c>
      <c r="P453">
        <v>3.7850000000000001</v>
      </c>
    </row>
    <row r="454" spans="1:16" x14ac:dyDescent="0.35">
      <c r="A454" s="5" t="str">
        <f>HYPERLINK("https://tienda.tarracoimportexport.com/index.php?id_product=6452&amp;controller=product&amp;id_lang=4", "TR007576")</f>
        <v>TR007576</v>
      </c>
      <c r="B454" t="s">
        <v>1578</v>
      </c>
      <c r="D454" s="4">
        <v>1242</v>
      </c>
      <c r="E454" t="s">
        <v>1579</v>
      </c>
      <c r="F454" t="s">
        <v>16</v>
      </c>
      <c r="G454" t="s">
        <v>39</v>
      </c>
      <c r="H454">
        <v>12</v>
      </c>
      <c r="I454">
        <v>288</v>
      </c>
      <c r="J454" t="s">
        <v>202</v>
      </c>
      <c r="K454" s="17">
        <v>2.35</v>
      </c>
      <c r="L454" s="3">
        <f t="shared" si="7"/>
        <v>0</v>
      </c>
      <c r="N454" t="s">
        <v>1580</v>
      </c>
      <c r="O454" t="s">
        <v>1581</v>
      </c>
      <c r="P454">
        <v>12.9</v>
      </c>
    </row>
    <row r="455" spans="1:16" x14ac:dyDescent="0.35">
      <c r="A455" s="5" t="str">
        <f>HYPERLINK("https://tienda.tarracoimportexport.com/index.php?id_product=8406&amp;controller=product&amp;id_lang=4", "TR009548")</f>
        <v>TR009548</v>
      </c>
      <c r="B455" t="s">
        <v>1582</v>
      </c>
      <c r="D455" s="4">
        <v>4950</v>
      </c>
      <c r="E455" t="s">
        <v>1583</v>
      </c>
      <c r="F455" t="s">
        <v>16</v>
      </c>
      <c r="G455" t="s">
        <v>39</v>
      </c>
      <c r="H455">
        <v>12</v>
      </c>
      <c r="I455">
        <v>288</v>
      </c>
      <c r="J455" t="s">
        <v>202</v>
      </c>
      <c r="K455" s="17">
        <v>2.35</v>
      </c>
      <c r="L455" s="3">
        <f t="shared" si="7"/>
        <v>0</v>
      </c>
      <c r="N455" t="s">
        <v>1584</v>
      </c>
      <c r="O455" t="s">
        <v>1581</v>
      </c>
      <c r="P455">
        <v>10.96</v>
      </c>
    </row>
    <row r="456" spans="1:16" x14ac:dyDescent="0.35">
      <c r="A456" s="5" t="str">
        <f>HYPERLINK("https://tienda.tarracoimportexport.com/index.php?id_product=9043&amp;controller=product&amp;id_lang=4", "TR010127")</f>
        <v>TR010127</v>
      </c>
      <c r="B456" t="s">
        <v>1585</v>
      </c>
      <c r="D456" s="4">
        <v>1512</v>
      </c>
      <c r="E456" t="s">
        <v>1586</v>
      </c>
      <c r="F456" t="s">
        <v>16</v>
      </c>
      <c r="G456" t="s">
        <v>39</v>
      </c>
      <c r="H456">
        <v>12</v>
      </c>
      <c r="I456">
        <v>288</v>
      </c>
      <c r="J456" t="s">
        <v>202</v>
      </c>
      <c r="K456" s="17">
        <v>2.35</v>
      </c>
      <c r="L456" s="3">
        <f t="shared" si="7"/>
        <v>0</v>
      </c>
      <c r="N456" t="s">
        <v>1587</v>
      </c>
      <c r="O456" t="s">
        <v>1581</v>
      </c>
      <c r="P456">
        <v>13.215</v>
      </c>
    </row>
    <row r="457" spans="1:16" x14ac:dyDescent="0.35">
      <c r="A457" s="5" t="str">
        <f>HYPERLINK("https://tienda.tarracoimportexport.com/index.php?id_product=8996&amp;controller=product&amp;id_lang=4", "TR010081")</f>
        <v>TR010081</v>
      </c>
      <c r="B457" t="s">
        <v>1588</v>
      </c>
      <c r="D457" s="4">
        <v>16896</v>
      </c>
      <c r="E457" t="s">
        <v>1517</v>
      </c>
      <c r="F457" t="s">
        <v>16</v>
      </c>
      <c r="G457" t="s">
        <v>50</v>
      </c>
      <c r="H457">
        <v>180</v>
      </c>
      <c r="I457">
        <v>8640</v>
      </c>
      <c r="J457" t="s">
        <v>1589</v>
      </c>
      <c r="K457" s="17">
        <v>0.7</v>
      </c>
      <c r="L457" s="3">
        <f t="shared" si="7"/>
        <v>0</v>
      </c>
      <c r="N457" t="s">
        <v>1590</v>
      </c>
      <c r="O457" t="s">
        <v>1513</v>
      </c>
      <c r="P457">
        <v>0.15</v>
      </c>
    </row>
    <row r="458" spans="1:16" x14ac:dyDescent="0.35">
      <c r="A458" s="5" t="str">
        <f>HYPERLINK("https://tienda.tarracoimportexport.com/index.php?id_product=6208&amp;controller=product&amp;id_lang=4", "TR007343")</f>
        <v>TR007343</v>
      </c>
      <c r="B458" t="s">
        <v>1591</v>
      </c>
      <c r="D458" s="4">
        <v>168320</v>
      </c>
      <c r="E458" t="s">
        <v>1592</v>
      </c>
      <c r="F458" t="s">
        <v>16</v>
      </c>
      <c r="G458" t="s">
        <v>186</v>
      </c>
      <c r="H458">
        <v>8</v>
      </c>
      <c r="I458">
        <v>1600</v>
      </c>
      <c r="J458" t="s">
        <v>186</v>
      </c>
      <c r="K458" s="17">
        <v>1.65</v>
      </c>
      <c r="L458" s="3">
        <f t="shared" si="7"/>
        <v>0</v>
      </c>
      <c r="N458" t="s">
        <v>1593</v>
      </c>
      <c r="O458" t="s">
        <v>1594</v>
      </c>
      <c r="P458">
        <v>5.72</v>
      </c>
    </row>
    <row r="459" spans="1:16" x14ac:dyDescent="0.35">
      <c r="A459" s="5" t="str">
        <f>HYPERLINK("https://tienda.tarracoimportexport.com/index.php?id_product=6209&amp;controller=product&amp;id_lang=4", "TR007344")</f>
        <v>TR007344</v>
      </c>
      <c r="B459" t="s">
        <v>1595</v>
      </c>
      <c r="D459" s="4">
        <v>88000</v>
      </c>
      <c r="E459" t="s">
        <v>1596</v>
      </c>
      <c r="F459" t="s">
        <v>16</v>
      </c>
      <c r="G459" t="s">
        <v>186</v>
      </c>
      <c r="H459">
        <v>8</v>
      </c>
      <c r="I459">
        <v>1600</v>
      </c>
      <c r="J459" t="s">
        <v>186</v>
      </c>
      <c r="K459" s="17">
        <v>1.65</v>
      </c>
      <c r="L459" s="3">
        <f t="shared" si="7"/>
        <v>0</v>
      </c>
      <c r="N459" t="s">
        <v>1597</v>
      </c>
      <c r="O459" t="s">
        <v>1598</v>
      </c>
      <c r="P459">
        <v>5.75</v>
      </c>
    </row>
    <row r="460" spans="1:16" x14ac:dyDescent="0.35">
      <c r="A460" s="5" t="str">
        <f>HYPERLINK("https://tienda.tarracoimportexport.com/index.php?id_product=5060&amp;controller=product&amp;id_lang=4", "TR006338")</f>
        <v>TR006338</v>
      </c>
      <c r="B460" t="s">
        <v>1599</v>
      </c>
      <c r="D460" s="4">
        <v>4608</v>
      </c>
      <c r="E460" t="s">
        <v>1600</v>
      </c>
      <c r="F460" t="s">
        <v>16</v>
      </c>
      <c r="G460" t="s">
        <v>290</v>
      </c>
      <c r="H460">
        <v>10</v>
      </c>
      <c r="I460">
        <v>960</v>
      </c>
      <c r="J460" t="s">
        <v>516</v>
      </c>
      <c r="K460" s="17">
        <v>0.65</v>
      </c>
      <c r="L460" s="3">
        <f t="shared" si="7"/>
        <v>0</v>
      </c>
      <c r="N460" t="s">
        <v>1601</v>
      </c>
      <c r="O460" t="s">
        <v>1602</v>
      </c>
      <c r="P460">
        <v>8.0649999999999995</v>
      </c>
    </row>
    <row r="461" spans="1:16" x14ac:dyDescent="0.35">
      <c r="A461" s="5" t="str">
        <f>HYPERLINK("https://tienda.tarracoimportexport.com/index.php?id_product=6128&amp;controller=product&amp;id_lang=4", "TR007269")</f>
        <v>TR007269</v>
      </c>
      <c r="B461" t="s">
        <v>1603</v>
      </c>
      <c r="D461" s="4">
        <v>2706</v>
      </c>
      <c r="E461" t="s">
        <v>1604</v>
      </c>
      <c r="F461" t="s">
        <v>16</v>
      </c>
      <c r="G461" t="s">
        <v>39</v>
      </c>
      <c r="H461">
        <v>21</v>
      </c>
      <c r="I461">
        <v>882</v>
      </c>
      <c r="J461" t="s">
        <v>1605</v>
      </c>
      <c r="K461" s="17">
        <v>1.74</v>
      </c>
      <c r="L461" s="3">
        <f t="shared" si="7"/>
        <v>0</v>
      </c>
      <c r="N461" t="s">
        <v>1606</v>
      </c>
      <c r="O461" t="s">
        <v>1529</v>
      </c>
      <c r="P461">
        <v>5.0650000000000004</v>
      </c>
    </row>
    <row r="462" spans="1:16" x14ac:dyDescent="0.35">
      <c r="A462" s="5" t="str">
        <f>HYPERLINK("https://tienda.tarracoimportexport.com/index.php?id_product=6129&amp;controller=product&amp;id_lang=4", "TR007270")</f>
        <v>TR007270</v>
      </c>
      <c r="B462" t="s">
        <v>1607</v>
      </c>
      <c r="D462" s="4">
        <v>2934</v>
      </c>
      <c r="E462" t="s">
        <v>1608</v>
      </c>
      <c r="F462" t="s">
        <v>16</v>
      </c>
      <c r="G462" t="s">
        <v>39</v>
      </c>
      <c r="H462">
        <v>21</v>
      </c>
      <c r="I462">
        <v>882</v>
      </c>
      <c r="J462" t="s">
        <v>1605</v>
      </c>
      <c r="K462" s="17">
        <v>1.74</v>
      </c>
      <c r="L462" s="3">
        <f t="shared" si="7"/>
        <v>0</v>
      </c>
      <c r="N462" t="s">
        <v>1609</v>
      </c>
      <c r="O462" t="s">
        <v>1529</v>
      </c>
      <c r="P462">
        <v>5.0650000000000004</v>
      </c>
    </row>
    <row r="463" spans="1:16" x14ac:dyDescent="0.35">
      <c r="A463" s="5" t="str">
        <f>HYPERLINK("https://tienda.tarracoimportexport.com/index.php?id_product=8752&amp;controller=product&amp;id_lang=4", "TR009863")</f>
        <v>TR009863</v>
      </c>
      <c r="B463" t="s">
        <v>1610</v>
      </c>
      <c r="D463" s="4">
        <v>1074</v>
      </c>
      <c r="E463" t="s">
        <v>1611</v>
      </c>
      <c r="F463" t="s">
        <v>16</v>
      </c>
      <c r="G463" t="s">
        <v>39</v>
      </c>
      <c r="H463">
        <v>21</v>
      </c>
      <c r="I463">
        <v>882</v>
      </c>
      <c r="J463" t="s">
        <v>1605</v>
      </c>
      <c r="K463" s="17">
        <v>1.74</v>
      </c>
      <c r="L463" s="3">
        <f t="shared" si="7"/>
        <v>0</v>
      </c>
      <c r="N463" t="s">
        <v>1612</v>
      </c>
      <c r="O463" t="s">
        <v>1529</v>
      </c>
      <c r="P463">
        <v>5.0350000000000001</v>
      </c>
    </row>
    <row r="464" spans="1:16" x14ac:dyDescent="0.35">
      <c r="A464" s="5" t="str">
        <f>HYPERLINK("https://tienda.tarracoimportexport.com/index.php?id_product=6135&amp;controller=product&amp;id_lang=4", "TR007276")</f>
        <v>TR007276</v>
      </c>
      <c r="B464" t="s">
        <v>1613</v>
      </c>
      <c r="D464" s="4">
        <v>2760</v>
      </c>
      <c r="E464" t="s">
        <v>1614</v>
      </c>
      <c r="F464" t="s">
        <v>16</v>
      </c>
      <c r="G464" t="s">
        <v>39</v>
      </c>
      <c r="H464">
        <v>21</v>
      </c>
      <c r="I464">
        <v>882</v>
      </c>
      <c r="J464" t="s">
        <v>1605</v>
      </c>
      <c r="K464" s="17">
        <v>1.74</v>
      </c>
      <c r="L464" s="3">
        <f t="shared" si="7"/>
        <v>0</v>
      </c>
      <c r="N464" t="s">
        <v>1615</v>
      </c>
      <c r="O464" t="s">
        <v>1261</v>
      </c>
      <c r="P464">
        <v>5.07</v>
      </c>
    </row>
    <row r="465" spans="1:16" x14ac:dyDescent="0.35">
      <c r="A465" s="5" t="str">
        <f>HYPERLINK("https://tienda.tarracoimportexport.com/index.php?id_product=7829&amp;controller=product&amp;id_lang=4", "TR008992")</f>
        <v>TR008992</v>
      </c>
      <c r="B465" t="s">
        <v>1616</v>
      </c>
      <c r="D465" s="4">
        <v>11256</v>
      </c>
      <c r="E465" t="s">
        <v>1617</v>
      </c>
      <c r="F465" t="s">
        <v>16</v>
      </c>
      <c r="G465" t="s">
        <v>50</v>
      </c>
      <c r="H465">
        <v>40</v>
      </c>
      <c r="I465">
        <v>4800</v>
      </c>
      <c r="J465" t="s">
        <v>955</v>
      </c>
      <c r="K465" s="17">
        <v>1.45</v>
      </c>
      <c r="L465" s="3">
        <f t="shared" si="7"/>
        <v>0</v>
      </c>
      <c r="N465" t="s">
        <v>1618</v>
      </c>
      <c r="O465" t="s">
        <v>1619</v>
      </c>
      <c r="P465">
        <v>0.65</v>
      </c>
    </row>
    <row r="466" spans="1:16" x14ac:dyDescent="0.35">
      <c r="A466" s="5" t="str">
        <f>HYPERLINK("https://tienda.tarracoimportexport.com/index.php?id_product=7831&amp;controller=product&amp;id_lang=4", "TR008994")</f>
        <v>TR008994</v>
      </c>
      <c r="B466" t="s">
        <v>1620</v>
      </c>
      <c r="D466" s="4">
        <v>6588</v>
      </c>
      <c r="E466" t="s">
        <v>1621</v>
      </c>
      <c r="F466" t="s">
        <v>16</v>
      </c>
      <c r="G466" t="s">
        <v>50</v>
      </c>
      <c r="H466">
        <v>40</v>
      </c>
      <c r="I466">
        <v>4800</v>
      </c>
      <c r="J466" t="s">
        <v>955</v>
      </c>
      <c r="K466" s="17">
        <v>1.45</v>
      </c>
      <c r="L466" s="3">
        <f t="shared" si="7"/>
        <v>0</v>
      </c>
      <c r="N466" t="s">
        <v>1622</v>
      </c>
      <c r="O466" t="s">
        <v>1619</v>
      </c>
      <c r="P466">
        <v>0.755</v>
      </c>
    </row>
    <row r="467" spans="1:16" x14ac:dyDescent="0.35">
      <c r="A467" s="5" t="str">
        <f>HYPERLINK("https://tienda.tarracoimportexport.com/index.php?id_product=7832&amp;controller=product&amp;id_lang=4", "TR008995")</f>
        <v>TR008995</v>
      </c>
      <c r="B467" t="s">
        <v>1623</v>
      </c>
      <c r="D467" s="4">
        <v>3564</v>
      </c>
      <c r="E467" t="s">
        <v>1624</v>
      </c>
      <c r="F467" t="s">
        <v>16</v>
      </c>
      <c r="G467" t="s">
        <v>50</v>
      </c>
      <c r="H467">
        <v>40</v>
      </c>
      <c r="I467">
        <v>4800</v>
      </c>
      <c r="J467" t="s">
        <v>955</v>
      </c>
      <c r="K467" s="17">
        <v>1.45</v>
      </c>
      <c r="L467" s="3">
        <f t="shared" si="7"/>
        <v>0</v>
      </c>
      <c r="N467" t="s">
        <v>1625</v>
      </c>
      <c r="O467" t="s">
        <v>1619</v>
      </c>
      <c r="P467">
        <v>0.76500000000000001</v>
      </c>
    </row>
    <row r="468" spans="1:16" x14ac:dyDescent="0.35">
      <c r="A468" s="5" t="str">
        <f>HYPERLINK("https://tienda.tarracoimportexport.com/index.php?id_product=7830&amp;controller=product&amp;id_lang=4", "TR008993")</f>
        <v>TR008993</v>
      </c>
      <c r="B468" t="s">
        <v>1626</v>
      </c>
      <c r="D468" s="4">
        <v>5760</v>
      </c>
      <c r="E468" t="s">
        <v>1627</v>
      </c>
      <c r="F468" t="s">
        <v>16</v>
      </c>
      <c r="G468" t="s">
        <v>50</v>
      </c>
      <c r="H468">
        <v>40</v>
      </c>
      <c r="I468">
        <v>4800</v>
      </c>
      <c r="J468" t="s">
        <v>955</v>
      </c>
      <c r="K468" s="17">
        <v>1.45</v>
      </c>
      <c r="L468" s="3">
        <f t="shared" si="7"/>
        <v>0</v>
      </c>
      <c r="N468" t="s">
        <v>1628</v>
      </c>
      <c r="O468" t="s">
        <v>1619</v>
      </c>
      <c r="P468">
        <v>0.79500000000000004</v>
      </c>
    </row>
    <row r="469" spans="1:16" x14ac:dyDescent="0.35">
      <c r="A469" s="5" t="str">
        <f>HYPERLINK("https://tienda.tarracoimportexport.com/index.php?id_product=8084&amp;controller=product&amp;id_lang=4", "TR009242")</f>
        <v>TR009242</v>
      </c>
      <c r="B469" t="s">
        <v>1629</v>
      </c>
      <c r="D469" s="4">
        <v>4596</v>
      </c>
      <c r="E469" t="s">
        <v>1630</v>
      </c>
      <c r="F469" t="s">
        <v>16</v>
      </c>
      <c r="G469" t="s">
        <v>39</v>
      </c>
      <c r="H469">
        <v>12</v>
      </c>
      <c r="I469">
        <v>288</v>
      </c>
      <c r="J469" t="s">
        <v>202</v>
      </c>
      <c r="K469" s="17">
        <v>2.19</v>
      </c>
      <c r="L469" s="3">
        <f t="shared" si="7"/>
        <v>0</v>
      </c>
      <c r="N469" t="s">
        <v>1631</v>
      </c>
      <c r="O469" t="s">
        <v>1529</v>
      </c>
      <c r="P469">
        <v>12.91</v>
      </c>
    </row>
    <row r="470" spans="1:16" x14ac:dyDescent="0.35">
      <c r="A470" s="5" t="str">
        <f>HYPERLINK("https://tienda.tarracoimportexport.com/index.php?id_product=9386&amp;controller=product&amp;id_lang=4", "TR010460")</f>
        <v>TR010460</v>
      </c>
      <c r="B470" t="s">
        <v>1632</v>
      </c>
      <c r="D470" s="4">
        <v>3204</v>
      </c>
      <c r="E470" t="s">
        <v>1633</v>
      </c>
      <c r="F470" t="s">
        <v>16</v>
      </c>
      <c r="G470" t="s">
        <v>39</v>
      </c>
      <c r="H470">
        <v>12</v>
      </c>
      <c r="I470">
        <v>288</v>
      </c>
      <c r="J470" t="s">
        <v>202</v>
      </c>
      <c r="K470" s="17">
        <v>2.19</v>
      </c>
      <c r="L470" s="3">
        <f t="shared" si="7"/>
        <v>0</v>
      </c>
      <c r="N470" t="s">
        <v>1634</v>
      </c>
      <c r="O470" t="s">
        <v>1635</v>
      </c>
      <c r="P470">
        <v>12.87</v>
      </c>
    </row>
    <row r="471" spans="1:16" x14ac:dyDescent="0.35">
      <c r="A471" s="5" t="str">
        <f>HYPERLINK("https://tienda.tarracoimportexport.com/index.php?id_product=8085&amp;controller=product&amp;id_lang=4", "TR009243")</f>
        <v>TR009243</v>
      </c>
      <c r="B471" t="s">
        <v>1636</v>
      </c>
      <c r="D471" s="4">
        <v>4572</v>
      </c>
      <c r="E471" t="s">
        <v>1637</v>
      </c>
      <c r="F471" t="s">
        <v>16</v>
      </c>
      <c r="G471" t="s">
        <v>39</v>
      </c>
      <c r="H471">
        <v>12</v>
      </c>
      <c r="I471">
        <v>288</v>
      </c>
      <c r="J471" t="s">
        <v>202</v>
      </c>
      <c r="K471" s="17">
        <v>2.19</v>
      </c>
      <c r="L471" s="3">
        <f t="shared" si="7"/>
        <v>0</v>
      </c>
      <c r="N471" t="s">
        <v>1638</v>
      </c>
      <c r="O471" t="s">
        <v>1529</v>
      </c>
      <c r="P471">
        <v>12.97</v>
      </c>
    </row>
    <row r="472" spans="1:16" x14ac:dyDescent="0.35">
      <c r="A472" s="5" t="str">
        <f>HYPERLINK("https://tienda.tarracoimportexport.com/index.php?id_product=7833&amp;controller=product&amp;id_lang=4", "TR008996")</f>
        <v>TR008996</v>
      </c>
      <c r="B472" t="s">
        <v>1639</v>
      </c>
      <c r="D472" s="4">
        <v>9288</v>
      </c>
      <c r="E472" t="s">
        <v>1640</v>
      </c>
      <c r="F472" t="s">
        <v>16</v>
      </c>
      <c r="G472" t="s">
        <v>50</v>
      </c>
      <c r="H472">
        <v>40</v>
      </c>
      <c r="I472">
        <v>4800</v>
      </c>
      <c r="J472" t="s">
        <v>955</v>
      </c>
      <c r="K472" s="17">
        <v>2.5</v>
      </c>
      <c r="L472" s="3">
        <f t="shared" si="7"/>
        <v>0</v>
      </c>
      <c r="N472" t="s">
        <v>1641</v>
      </c>
      <c r="O472" t="s">
        <v>1619</v>
      </c>
      <c r="P472">
        <v>0.62</v>
      </c>
    </row>
    <row r="473" spans="1:16" x14ac:dyDescent="0.35">
      <c r="A473" s="5" t="str">
        <f>HYPERLINK("https://tienda.tarracoimportexport.com/index.php?id_product=9699&amp;controller=product&amp;id_lang=4", "TR010750")</f>
        <v>TR010750</v>
      </c>
      <c r="B473" t="s">
        <v>1642</v>
      </c>
      <c r="D473" s="4">
        <v>19770</v>
      </c>
      <c r="E473" t="s">
        <v>1643</v>
      </c>
      <c r="F473" t="s">
        <v>16</v>
      </c>
      <c r="G473" t="s">
        <v>362</v>
      </c>
      <c r="H473">
        <v>1</v>
      </c>
      <c r="I473">
        <v>1320</v>
      </c>
      <c r="J473" t="s">
        <v>243</v>
      </c>
      <c r="K473" s="17">
        <v>0.41</v>
      </c>
      <c r="L473" s="3">
        <f t="shared" si="7"/>
        <v>0</v>
      </c>
      <c r="N473" t="s">
        <v>1644</v>
      </c>
      <c r="O473" t="s">
        <v>30</v>
      </c>
      <c r="P473">
        <v>3.4249999999999998</v>
      </c>
    </row>
    <row r="474" spans="1:16" x14ac:dyDescent="0.35">
      <c r="A474" s="5" t="str">
        <f>HYPERLINK("https://tienda.tarracoimportexport.com/index.php?id_product=9059&amp;controller=product&amp;id_lang=4", "TR010143")</f>
        <v>TR010143</v>
      </c>
      <c r="B474" t="s">
        <v>1645</v>
      </c>
      <c r="D474" s="4">
        <v>26016</v>
      </c>
      <c r="E474" t="s">
        <v>1646</v>
      </c>
      <c r="F474" t="s">
        <v>1647</v>
      </c>
      <c r="G474" t="s">
        <v>50</v>
      </c>
      <c r="H474">
        <v>11</v>
      </c>
      <c r="I474">
        <v>1056</v>
      </c>
      <c r="J474" t="s">
        <v>1648</v>
      </c>
      <c r="K474" s="17">
        <v>1.05</v>
      </c>
      <c r="L474" s="3">
        <f t="shared" si="7"/>
        <v>0</v>
      </c>
      <c r="N474" t="s">
        <v>1649</v>
      </c>
      <c r="O474" t="s">
        <v>1650</v>
      </c>
      <c r="P474">
        <v>6.91</v>
      </c>
    </row>
    <row r="475" spans="1:16" x14ac:dyDescent="0.35">
      <c r="A475" s="5" t="str">
        <f>HYPERLINK("https://tienda.tarracoimportexport.com/index.php?id_product=7798&amp;controller=product&amp;id_lang=4", "TR008962")</f>
        <v>TR008962</v>
      </c>
      <c r="B475" t="s">
        <v>1651</v>
      </c>
      <c r="D475" s="4">
        <v>47112</v>
      </c>
      <c r="E475" t="s">
        <v>1652</v>
      </c>
      <c r="F475" t="s">
        <v>125</v>
      </c>
      <c r="G475" t="s">
        <v>50</v>
      </c>
      <c r="H475">
        <v>11</v>
      </c>
      <c r="I475">
        <v>792</v>
      </c>
      <c r="J475" t="s">
        <v>107</v>
      </c>
      <c r="K475" s="17">
        <v>0.94</v>
      </c>
      <c r="L475" s="3">
        <f t="shared" si="7"/>
        <v>0</v>
      </c>
      <c r="N475" t="s">
        <v>1653</v>
      </c>
      <c r="O475" t="s">
        <v>1654</v>
      </c>
      <c r="P475">
        <v>7.14</v>
      </c>
    </row>
    <row r="476" spans="1:16" x14ac:dyDescent="0.35">
      <c r="A476" s="5" t="str">
        <f>HYPERLINK("https://tienda.tarracoimportexport.com/index.php?id_product=7900&amp;controller=product&amp;id_lang=4", "TR009060")</f>
        <v>TR009060</v>
      </c>
      <c r="B476" t="s">
        <v>1655</v>
      </c>
      <c r="D476" s="4">
        <v>36780</v>
      </c>
      <c r="E476" t="s">
        <v>1656</v>
      </c>
      <c r="F476" t="s">
        <v>972</v>
      </c>
      <c r="G476" t="s">
        <v>50</v>
      </c>
      <c r="H476">
        <v>11</v>
      </c>
      <c r="I476">
        <v>792</v>
      </c>
      <c r="J476" t="s">
        <v>107</v>
      </c>
      <c r="K476" s="17">
        <v>0.94</v>
      </c>
      <c r="L476" s="3">
        <f t="shared" si="7"/>
        <v>0</v>
      </c>
      <c r="N476" t="s">
        <v>1657</v>
      </c>
      <c r="O476" t="s">
        <v>1658</v>
      </c>
      <c r="P476">
        <v>7.1</v>
      </c>
    </row>
    <row r="477" spans="1:16" x14ac:dyDescent="0.35">
      <c r="A477" s="5" t="str">
        <f>HYPERLINK("https://tienda.tarracoimportexport.com/index.php?id_product=9493&amp;controller=product&amp;id_lang=4", "TR010558")</f>
        <v>TR010558</v>
      </c>
      <c r="B477" t="s">
        <v>1659</v>
      </c>
      <c r="D477" s="4">
        <v>65112</v>
      </c>
      <c r="E477" t="s">
        <v>1660</v>
      </c>
      <c r="F477" t="s">
        <v>1661</v>
      </c>
      <c r="G477" t="s">
        <v>106</v>
      </c>
      <c r="H477">
        <v>1</v>
      </c>
      <c r="I477">
        <v>2784</v>
      </c>
      <c r="J477" t="s">
        <v>1575</v>
      </c>
      <c r="K477" s="17">
        <v>0.34</v>
      </c>
      <c r="L477" s="3">
        <f t="shared" si="7"/>
        <v>0</v>
      </c>
      <c r="N477" t="s">
        <v>1662</v>
      </c>
      <c r="O477" t="s">
        <v>1663</v>
      </c>
      <c r="P477">
        <v>3.09</v>
      </c>
    </row>
    <row r="478" spans="1:16" x14ac:dyDescent="0.35">
      <c r="A478" s="5" t="str">
        <f>HYPERLINK("https://tienda.tarracoimportexport.com/index.php?id_product=7303&amp;controller=product&amp;id_lang=4", "TR008488")</f>
        <v>TR008488</v>
      </c>
      <c r="B478" t="s">
        <v>1664</v>
      </c>
      <c r="D478" s="4">
        <v>124920</v>
      </c>
      <c r="E478" t="s">
        <v>1665</v>
      </c>
      <c r="F478" t="s">
        <v>1666</v>
      </c>
      <c r="G478" t="s">
        <v>50</v>
      </c>
      <c r="H478">
        <v>11</v>
      </c>
      <c r="I478">
        <v>1056</v>
      </c>
      <c r="J478" t="s">
        <v>1648</v>
      </c>
      <c r="K478" s="17">
        <v>0.64</v>
      </c>
      <c r="L478" s="3">
        <f t="shared" si="7"/>
        <v>0</v>
      </c>
      <c r="N478" t="s">
        <v>1667</v>
      </c>
      <c r="O478" t="s">
        <v>1668</v>
      </c>
      <c r="P478">
        <v>5.1150000000000002</v>
      </c>
    </row>
    <row r="479" spans="1:16" x14ac:dyDescent="0.35">
      <c r="A479" s="5" t="str">
        <f>HYPERLINK("https://tienda.tarracoimportexport.com/index.php?id_product=7304&amp;controller=product&amp;id_lang=4", "TR008489")</f>
        <v>TR008489</v>
      </c>
      <c r="B479" t="s">
        <v>1669</v>
      </c>
      <c r="D479" s="4">
        <v>120840</v>
      </c>
      <c r="E479" t="s">
        <v>1670</v>
      </c>
      <c r="F479" t="s">
        <v>1647</v>
      </c>
      <c r="G479" t="s">
        <v>50</v>
      </c>
      <c r="H479">
        <v>11</v>
      </c>
      <c r="I479">
        <v>1056</v>
      </c>
      <c r="J479" t="s">
        <v>1648</v>
      </c>
      <c r="K479" s="17">
        <v>0.64</v>
      </c>
      <c r="L479" s="3">
        <f t="shared" si="7"/>
        <v>0</v>
      </c>
      <c r="N479" t="s">
        <v>1671</v>
      </c>
      <c r="O479" t="s">
        <v>1668</v>
      </c>
      <c r="P479">
        <v>5.12</v>
      </c>
    </row>
    <row r="480" spans="1:16" x14ac:dyDescent="0.35">
      <c r="A480" s="5" t="str">
        <f>HYPERLINK("https://tienda.tarracoimportexport.com/index.php?id_product=9072&amp;controller=product&amp;id_lang=4", "TR010156")</f>
        <v>TR010156</v>
      </c>
      <c r="B480" t="s">
        <v>1672</v>
      </c>
      <c r="D480" s="4">
        <v>4656</v>
      </c>
      <c r="E480" t="s">
        <v>1673</v>
      </c>
      <c r="F480" t="s">
        <v>16</v>
      </c>
      <c r="G480" t="s">
        <v>50</v>
      </c>
      <c r="H480">
        <v>14</v>
      </c>
      <c r="I480">
        <v>672</v>
      </c>
      <c r="J480" t="s">
        <v>539</v>
      </c>
      <c r="K480" s="17">
        <v>1.43</v>
      </c>
      <c r="L480" s="3">
        <f t="shared" si="7"/>
        <v>0</v>
      </c>
      <c r="N480" t="s">
        <v>1674</v>
      </c>
      <c r="O480" t="s">
        <v>1675</v>
      </c>
      <c r="P480">
        <v>6.95</v>
      </c>
    </row>
    <row r="481" spans="1:16" x14ac:dyDescent="0.35">
      <c r="A481" s="5" t="str">
        <f>HYPERLINK("https://tienda.tarracoimportexport.com/index.php?id_product=9069&amp;controller=product&amp;id_lang=4", "TR010153")</f>
        <v>TR010153</v>
      </c>
      <c r="B481" t="s">
        <v>1676</v>
      </c>
      <c r="D481" s="4">
        <v>3828</v>
      </c>
      <c r="E481" t="s">
        <v>1677</v>
      </c>
      <c r="F481" t="s">
        <v>16</v>
      </c>
      <c r="G481" t="s">
        <v>50</v>
      </c>
      <c r="H481">
        <v>14</v>
      </c>
      <c r="I481">
        <v>672</v>
      </c>
      <c r="J481" t="s">
        <v>539</v>
      </c>
      <c r="K481" s="17">
        <v>1.43</v>
      </c>
      <c r="L481" s="3">
        <f t="shared" si="7"/>
        <v>0</v>
      </c>
      <c r="N481" t="s">
        <v>1678</v>
      </c>
      <c r="O481" t="s">
        <v>1679</v>
      </c>
      <c r="P481">
        <v>6.9550000000000001</v>
      </c>
    </row>
    <row r="482" spans="1:16" x14ac:dyDescent="0.35">
      <c r="A482" s="5" t="str">
        <f>HYPERLINK("https://tienda.tarracoimportexport.com/index.php?id_product=9070&amp;controller=product&amp;id_lang=4", "TR010154")</f>
        <v>TR010154</v>
      </c>
      <c r="B482" t="s">
        <v>1680</v>
      </c>
      <c r="D482" s="4">
        <v>4608</v>
      </c>
      <c r="E482" t="s">
        <v>1681</v>
      </c>
      <c r="F482" t="s">
        <v>16</v>
      </c>
      <c r="G482" t="s">
        <v>50</v>
      </c>
      <c r="H482">
        <v>14</v>
      </c>
      <c r="I482">
        <v>672</v>
      </c>
      <c r="J482" t="s">
        <v>539</v>
      </c>
      <c r="K482" s="17">
        <v>1.43</v>
      </c>
      <c r="L482" s="3">
        <f t="shared" si="7"/>
        <v>0</v>
      </c>
      <c r="N482" t="s">
        <v>1682</v>
      </c>
      <c r="O482" t="s">
        <v>1679</v>
      </c>
      <c r="P482">
        <v>6.9749999999999996</v>
      </c>
    </row>
    <row r="483" spans="1:16" x14ac:dyDescent="0.35">
      <c r="A483" s="5" t="str">
        <f>HYPERLINK("https://tienda.tarracoimportexport.com/index.php?id_product=9071&amp;controller=product&amp;id_lang=4", "TR010155")</f>
        <v>TR010155</v>
      </c>
      <c r="B483" t="s">
        <v>1683</v>
      </c>
      <c r="D483" s="4">
        <v>3144</v>
      </c>
      <c r="E483" t="s">
        <v>1684</v>
      </c>
      <c r="F483" t="s">
        <v>16</v>
      </c>
      <c r="G483" t="s">
        <v>50</v>
      </c>
      <c r="H483">
        <v>14</v>
      </c>
      <c r="I483">
        <v>672</v>
      </c>
      <c r="J483" t="s">
        <v>539</v>
      </c>
      <c r="K483" s="17">
        <v>1.43</v>
      </c>
      <c r="L483" s="3">
        <f t="shared" si="7"/>
        <v>0</v>
      </c>
      <c r="N483" t="s">
        <v>1685</v>
      </c>
      <c r="O483" t="s">
        <v>1679</v>
      </c>
      <c r="P483">
        <v>7.0049999999999999</v>
      </c>
    </row>
    <row r="484" spans="1:16" x14ac:dyDescent="0.35">
      <c r="A484" s="5" t="str">
        <f>HYPERLINK("https://tienda.tarracoimportexport.com/index.php?id_product=7619&amp;controller=product&amp;id_lang=4", "TR008788")</f>
        <v>TR008788</v>
      </c>
      <c r="B484" t="s">
        <v>1686</v>
      </c>
      <c r="D484" s="4">
        <v>156</v>
      </c>
      <c r="E484" t="s">
        <v>1687</v>
      </c>
      <c r="F484" t="s">
        <v>16</v>
      </c>
      <c r="G484" t="s">
        <v>50</v>
      </c>
      <c r="H484">
        <v>12</v>
      </c>
      <c r="I484">
        <v>864</v>
      </c>
      <c r="J484" t="s">
        <v>94</v>
      </c>
      <c r="K484" s="17">
        <v>1.87</v>
      </c>
      <c r="L484" s="3">
        <f t="shared" si="7"/>
        <v>0</v>
      </c>
      <c r="N484" t="s">
        <v>1688</v>
      </c>
      <c r="O484" t="s">
        <v>1689</v>
      </c>
      <c r="P484">
        <v>8.2449999999999992</v>
      </c>
    </row>
    <row r="485" spans="1:16" x14ac:dyDescent="0.35">
      <c r="A485" s="5" t="str">
        <f>HYPERLINK("https://tienda.tarracoimportexport.com/index.php?id_product=7620&amp;controller=product&amp;id_lang=4", "TR008789")</f>
        <v>TR008789</v>
      </c>
      <c r="B485" t="s">
        <v>1690</v>
      </c>
      <c r="D485" s="4">
        <v>456</v>
      </c>
      <c r="E485" t="s">
        <v>1691</v>
      </c>
      <c r="F485" t="s">
        <v>16</v>
      </c>
      <c r="G485" t="s">
        <v>50</v>
      </c>
      <c r="H485">
        <v>12</v>
      </c>
      <c r="I485">
        <v>864</v>
      </c>
      <c r="J485" t="s">
        <v>94</v>
      </c>
      <c r="K485" s="17">
        <v>1.87</v>
      </c>
      <c r="L485" s="3">
        <f t="shared" si="7"/>
        <v>0</v>
      </c>
      <c r="N485" t="s">
        <v>1692</v>
      </c>
      <c r="O485" t="s">
        <v>1689</v>
      </c>
      <c r="P485">
        <v>8.0449999999999999</v>
      </c>
    </row>
    <row r="486" spans="1:16" x14ac:dyDescent="0.35">
      <c r="A486" s="5" t="str">
        <f>HYPERLINK("https://tienda.tarracoimportexport.com/index.php?id_product=7621&amp;controller=product&amp;id_lang=4", "TR008790")</f>
        <v>TR008790</v>
      </c>
      <c r="B486" t="s">
        <v>1693</v>
      </c>
      <c r="D486" s="4">
        <v>1080</v>
      </c>
      <c r="E486" t="s">
        <v>1694</v>
      </c>
      <c r="F486" t="s">
        <v>16</v>
      </c>
      <c r="G486" t="s">
        <v>50</v>
      </c>
      <c r="H486">
        <v>12</v>
      </c>
      <c r="I486">
        <v>864</v>
      </c>
      <c r="J486" t="s">
        <v>94</v>
      </c>
      <c r="K486" s="17">
        <v>1.87</v>
      </c>
      <c r="L486" s="3">
        <f t="shared" si="7"/>
        <v>0</v>
      </c>
      <c r="N486" t="s">
        <v>1695</v>
      </c>
      <c r="O486" t="s">
        <v>1689</v>
      </c>
      <c r="P486">
        <v>8.09</v>
      </c>
    </row>
    <row r="487" spans="1:16" x14ac:dyDescent="0.35">
      <c r="A487" s="5" t="str">
        <f>HYPERLINK("https://tienda.tarracoimportexport.com/index.php?id_product=10186&amp;controller=product&amp;id_lang=4", "TR011220")</f>
        <v>TR011220</v>
      </c>
      <c r="B487" t="s">
        <v>1696</v>
      </c>
      <c r="D487" s="4">
        <v>27714</v>
      </c>
      <c r="E487" t="s">
        <v>1697</v>
      </c>
      <c r="F487" t="s">
        <v>16</v>
      </c>
      <c r="G487" t="s">
        <v>39</v>
      </c>
      <c r="H487">
        <v>20</v>
      </c>
      <c r="I487">
        <v>720</v>
      </c>
      <c r="J487" t="s">
        <v>63</v>
      </c>
      <c r="K487" s="17">
        <v>1.75</v>
      </c>
      <c r="L487" s="3">
        <f t="shared" si="7"/>
        <v>0</v>
      </c>
      <c r="N487" t="s">
        <v>1698</v>
      </c>
      <c r="O487" t="s">
        <v>71</v>
      </c>
      <c r="P487">
        <v>5.12</v>
      </c>
    </row>
    <row r="488" spans="1:16" x14ac:dyDescent="0.35">
      <c r="A488" s="5" t="str">
        <f>HYPERLINK("https://tienda.tarracoimportexport.com/index.php?id_product=6584&amp;controller=product&amp;id_lang=4", "TR007707")</f>
        <v>TR007707</v>
      </c>
      <c r="B488" t="s">
        <v>1699</v>
      </c>
      <c r="D488" s="4">
        <v>2160</v>
      </c>
      <c r="E488" t="s">
        <v>1700</v>
      </c>
      <c r="F488" t="s">
        <v>16</v>
      </c>
      <c r="G488" t="s">
        <v>50</v>
      </c>
      <c r="H488">
        <v>15</v>
      </c>
      <c r="I488">
        <v>1620</v>
      </c>
      <c r="J488" t="s">
        <v>527</v>
      </c>
      <c r="K488" s="17">
        <v>1.53</v>
      </c>
      <c r="L488" s="3">
        <f t="shared" si="7"/>
        <v>0</v>
      </c>
      <c r="N488" t="s">
        <v>1701</v>
      </c>
      <c r="O488" t="s">
        <v>30</v>
      </c>
      <c r="P488">
        <v>2.75</v>
      </c>
    </row>
    <row r="489" spans="1:16" x14ac:dyDescent="0.35">
      <c r="A489" s="5" t="str">
        <f>HYPERLINK("https://tienda.tarracoimportexport.com/index.php?id_product=10760&amp;controller=product&amp;id_lang=4", "TR011719")</f>
        <v>TR011719</v>
      </c>
      <c r="B489" t="s">
        <v>1702</v>
      </c>
      <c r="D489" s="4">
        <v>552</v>
      </c>
      <c r="E489" t="s">
        <v>1703</v>
      </c>
      <c r="F489" t="s">
        <v>16</v>
      </c>
      <c r="G489" t="s">
        <v>50</v>
      </c>
      <c r="H489">
        <v>16</v>
      </c>
      <c r="I489">
        <v>576</v>
      </c>
      <c r="J489" t="s">
        <v>202</v>
      </c>
      <c r="K489" s="17">
        <v>2.38</v>
      </c>
      <c r="L489" s="3">
        <f t="shared" si="7"/>
        <v>0</v>
      </c>
      <c r="N489" t="s">
        <v>1704</v>
      </c>
      <c r="O489" t="s">
        <v>204</v>
      </c>
      <c r="P489">
        <v>8.375</v>
      </c>
    </row>
    <row r="490" spans="1:16" x14ac:dyDescent="0.35">
      <c r="A490" s="5" t="str">
        <f>HYPERLINK("https://tienda.tarracoimportexport.com/index.php?id_product=10759&amp;controller=product&amp;id_lang=4", "TR011718")</f>
        <v>TR011718</v>
      </c>
      <c r="B490" t="s">
        <v>1705</v>
      </c>
      <c r="D490" s="4">
        <v>1020</v>
      </c>
      <c r="E490" t="s">
        <v>1706</v>
      </c>
      <c r="F490" t="s">
        <v>16</v>
      </c>
      <c r="G490" t="s">
        <v>50</v>
      </c>
      <c r="H490">
        <v>16</v>
      </c>
      <c r="I490">
        <v>576</v>
      </c>
      <c r="J490" t="s">
        <v>202</v>
      </c>
      <c r="K490" s="17">
        <v>2.38</v>
      </c>
      <c r="L490" s="3">
        <f t="shared" si="7"/>
        <v>0</v>
      </c>
      <c r="N490" t="s">
        <v>1707</v>
      </c>
      <c r="O490" t="s">
        <v>731</v>
      </c>
      <c r="P490">
        <v>8.27</v>
      </c>
    </row>
    <row r="491" spans="1:16" x14ac:dyDescent="0.35">
      <c r="A491" s="5" t="str">
        <f>HYPERLINK("https://tienda.tarracoimportexport.com/index.php?id_product=8503&amp;controller=product&amp;id_lang=4", "TR009643")</f>
        <v>TR009643</v>
      </c>
      <c r="B491" t="s">
        <v>1709</v>
      </c>
      <c r="D491" s="4">
        <v>350</v>
      </c>
      <c r="E491" t="s">
        <v>1708</v>
      </c>
      <c r="F491" t="s">
        <v>16</v>
      </c>
      <c r="G491" t="s">
        <v>327</v>
      </c>
      <c r="H491">
        <v>1</v>
      </c>
      <c r="I491">
        <v>50</v>
      </c>
      <c r="J491" t="s">
        <v>526</v>
      </c>
      <c r="K491" s="17">
        <v>2.5299999999999998</v>
      </c>
      <c r="L491" s="3">
        <f t="shared" si="7"/>
        <v>0</v>
      </c>
      <c r="N491" t="s">
        <v>1710</v>
      </c>
      <c r="O491" t="s">
        <v>71</v>
      </c>
      <c r="P491">
        <v>1.63</v>
      </c>
    </row>
    <row r="492" spans="1:16" x14ac:dyDescent="0.35">
      <c r="A492" s="5" t="str">
        <f>HYPERLINK("https://tienda.tarracoimportexport.com/index.php?id_product=9316&amp;controller=product&amp;id_lang=4", "TR010389")</f>
        <v>TR010389</v>
      </c>
      <c r="B492" t="s">
        <v>1711</v>
      </c>
      <c r="D492" s="4">
        <v>26400</v>
      </c>
      <c r="E492" t="s">
        <v>1712</v>
      </c>
      <c r="F492" t="s">
        <v>16</v>
      </c>
      <c r="G492" t="s">
        <v>50</v>
      </c>
      <c r="H492">
        <v>19</v>
      </c>
      <c r="I492">
        <v>1368</v>
      </c>
      <c r="J492" t="s">
        <v>352</v>
      </c>
      <c r="K492" s="17">
        <v>1.32</v>
      </c>
      <c r="L492" s="3">
        <f t="shared" si="7"/>
        <v>0</v>
      </c>
      <c r="N492" t="s">
        <v>1713</v>
      </c>
      <c r="O492" t="s">
        <v>354</v>
      </c>
      <c r="P492">
        <v>6.8150000000000004</v>
      </c>
    </row>
    <row r="493" spans="1:16" x14ac:dyDescent="0.35">
      <c r="A493" s="5" t="str">
        <f>HYPERLINK("https://tienda.tarracoimportexport.com/index.php?id_product=9319&amp;controller=product&amp;id_lang=4", "TR010392")</f>
        <v>TR010392</v>
      </c>
      <c r="B493" t="s">
        <v>1714</v>
      </c>
      <c r="D493" s="4">
        <v>66816</v>
      </c>
      <c r="E493" t="s">
        <v>1715</v>
      </c>
      <c r="F493" t="s">
        <v>16</v>
      </c>
      <c r="G493" t="s">
        <v>50</v>
      </c>
      <c r="H493">
        <v>19</v>
      </c>
      <c r="I493">
        <v>1368</v>
      </c>
      <c r="J493" t="s">
        <v>352</v>
      </c>
      <c r="K493" s="17">
        <v>1.29</v>
      </c>
      <c r="L493" s="3">
        <f t="shared" si="7"/>
        <v>0</v>
      </c>
      <c r="N493" t="s">
        <v>1716</v>
      </c>
      <c r="O493" t="s">
        <v>354</v>
      </c>
      <c r="P493">
        <v>6.96</v>
      </c>
    </row>
    <row r="494" spans="1:16" x14ac:dyDescent="0.35">
      <c r="A494" s="5" t="str">
        <f>HYPERLINK("https://tienda.tarracoimportexport.com/index.php?id_product=5061&amp;controller=product&amp;id_lang=4", "TR006339")</f>
        <v>TR006339</v>
      </c>
      <c r="B494" t="s">
        <v>1717</v>
      </c>
      <c r="D494" s="4">
        <v>29970</v>
      </c>
      <c r="E494" t="s">
        <v>1718</v>
      </c>
      <c r="F494" t="s">
        <v>16</v>
      </c>
      <c r="G494" t="s">
        <v>180</v>
      </c>
      <c r="H494">
        <v>19</v>
      </c>
      <c r="I494">
        <v>1140</v>
      </c>
      <c r="J494" t="s">
        <v>213</v>
      </c>
      <c r="K494" s="17">
        <v>0.65</v>
      </c>
      <c r="L494" s="3">
        <f t="shared" si="7"/>
        <v>0</v>
      </c>
      <c r="N494" t="s">
        <v>1719</v>
      </c>
      <c r="O494" t="s">
        <v>1720</v>
      </c>
      <c r="P494">
        <v>5.77</v>
      </c>
    </row>
    <row r="495" spans="1:16" x14ac:dyDescent="0.35">
      <c r="A495" s="5" t="str">
        <f>HYPERLINK("https://tienda.tarracoimportexport.com/index.php?id_product=7778&amp;controller=product&amp;id_lang=4", "TR008942")</f>
        <v>TR008942</v>
      </c>
      <c r="B495" t="s">
        <v>1721</v>
      </c>
      <c r="D495" s="4">
        <v>1780</v>
      </c>
      <c r="E495" t="s">
        <v>1722</v>
      </c>
      <c r="F495" t="s">
        <v>16</v>
      </c>
      <c r="G495" t="s">
        <v>27</v>
      </c>
      <c r="H495">
        <v>13</v>
      </c>
      <c r="I495">
        <v>650</v>
      </c>
      <c r="J495" t="s">
        <v>1230</v>
      </c>
      <c r="K495" s="17">
        <v>1.83</v>
      </c>
      <c r="L495" s="3">
        <f t="shared" si="7"/>
        <v>0</v>
      </c>
      <c r="N495" t="s">
        <v>1723</v>
      </c>
      <c r="O495" t="s">
        <v>42</v>
      </c>
      <c r="P495">
        <v>8.7200000000000006</v>
      </c>
    </row>
    <row r="496" spans="1:16" x14ac:dyDescent="0.35">
      <c r="A496" s="5" t="str">
        <f>HYPERLINK("https://tienda.tarracoimportexport.com/index.php?id_product=8190&amp;controller=product&amp;id_lang=4", "TR009345")</f>
        <v>TR009345</v>
      </c>
      <c r="B496" t="s">
        <v>1724</v>
      </c>
      <c r="D496" s="4">
        <v>3552</v>
      </c>
      <c r="E496" t="s">
        <v>1725</v>
      </c>
      <c r="F496" t="s">
        <v>16</v>
      </c>
      <c r="G496" t="s">
        <v>50</v>
      </c>
      <c r="H496">
        <v>12</v>
      </c>
      <c r="I496">
        <v>864</v>
      </c>
      <c r="J496" t="s">
        <v>94</v>
      </c>
      <c r="K496" s="17">
        <v>2.29</v>
      </c>
      <c r="L496" s="3">
        <f t="shared" si="7"/>
        <v>0</v>
      </c>
      <c r="N496" t="s">
        <v>1726</v>
      </c>
      <c r="O496" t="s">
        <v>30</v>
      </c>
      <c r="P496">
        <v>8.0050000000000008</v>
      </c>
    </row>
    <row r="497" spans="1:16" x14ac:dyDescent="0.35">
      <c r="A497" s="5" t="str">
        <f>HYPERLINK("https://tienda.tarracoimportexport.com/index.php?id_product=10472&amp;controller=product&amp;id_lang=4", "TR011456")</f>
        <v>TR011456</v>
      </c>
      <c r="B497" t="s">
        <v>1727</v>
      </c>
      <c r="D497" s="4">
        <v>3816</v>
      </c>
      <c r="E497" t="s">
        <v>1728</v>
      </c>
      <c r="F497" t="s">
        <v>16</v>
      </c>
      <c r="G497" t="s">
        <v>50</v>
      </c>
      <c r="H497">
        <v>22</v>
      </c>
      <c r="I497">
        <v>2376</v>
      </c>
      <c r="J497" t="s">
        <v>1729</v>
      </c>
      <c r="K497" s="17">
        <v>1.1200000000000001</v>
      </c>
      <c r="L497" s="3">
        <f t="shared" si="7"/>
        <v>0</v>
      </c>
      <c r="N497" t="s">
        <v>1730</v>
      </c>
      <c r="O497" t="s">
        <v>30</v>
      </c>
      <c r="P497">
        <v>2.9750000000000001</v>
      </c>
    </row>
    <row r="498" spans="1:16" x14ac:dyDescent="0.35">
      <c r="A498" s="5" t="str">
        <f>HYPERLINK("https://tienda.tarracoimportexport.com/index.php?id_product=8164&amp;controller=product&amp;id_lang=4", "TR009320")</f>
        <v>TR009320</v>
      </c>
      <c r="B498" t="s">
        <v>1731</v>
      </c>
      <c r="D498" s="4">
        <v>864</v>
      </c>
      <c r="E498" t="s">
        <v>1732</v>
      </c>
      <c r="F498" t="s">
        <v>16</v>
      </c>
      <c r="G498" t="s">
        <v>50</v>
      </c>
      <c r="H498">
        <v>12</v>
      </c>
      <c r="I498">
        <v>864</v>
      </c>
      <c r="J498" t="s">
        <v>94</v>
      </c>
      <c r="K498" s="17">
        <v>2.29</v>
      </c>
      <c r="L498" s="3">
        <f t="shared" si="7"/>
        <v>0</v>
      </c>
      <c r="N498" t="s">
        <v>1733</v>
      </c>
      <c r="O498" t="s">
        <v>30</v>
      </c>
      <c r="P498">
        <v>8.76</v>
      </c>
    </row>
    <row r="499" spans="1:16" x14ac:dyDescent="0.35">
      <c r="A499" s="5" t="str">
        <f>HYPERLINK("https://tienda.tarracoimportexport.com/index.php?id_product=10474&amp;controller=product&amp;id_lang=4", "TR011458")</f>
        <v>TR011458</v>
      </c>
      <c r="B499" t="s">
        <v>1734</v>
      </c>
      <c r="D499" s="4">
        <v>40</v>
      </c>
      <c r="E499" t="s">
        <v>1735</v>
      </c>
      <c r="F499" t="s">
        <v>1736</v>
      </c>
      <c r="G499" t="s">
        <v>27</v>
      </c>
      <c r="H499">
        <v>15</v>
      </c>
      <c r="I499">
        <v>900</v>
      </c>
      <c r="J499" t="s">
        <v>357</v>
      </c>
      <c r="K499" s="17">
        <v>1.82</v>
      </c>
      <c r="L499" s="3">
        <f t="shared" si="7"/>
        <v>0</v>
      </c>
      <c r="N499" t="s">
        <v>1737</v>
      </c>
      <c r="O499" t="s">
        <v>30</v>
      </c>
      <c r="P499">
        <v>5.7149999999999999</v>
      </c>
    </row>
    <row r="500" spans="1:16" x14ac:dyDescent="0.35">
      <c r="A500" s="5" t="str">
        <f>HYPERLINK("https://tienda.tarracoimportexport.com/index.php?id_product=6397&amp;controller=product&amp;id_lang=4", "TR007522")</f>
        <v>TR007522</v>
      </c>
      <c r="B500" t="s">
        <v>1738</v>
      </c>
      <c r="D500" s="4">
        <v>276</v>
      </c>
      <c r="E500" t="s">
        <v>1739</v>
      </c>
      <c r="F500" t="s">
        <v>16</v>
      </c>
      <c r="G500" t="s">
        <v>50</v>
      </c>
      <c r="H500">
        <v>23</v>
      </c>
      <c r="I500">
        <v>1104</v>
      </c>
      <c r="J500" t="s">
        <v>1740</v>
      </c>
      <c r="K500" s="17">
        <v>2.52</v>
      </c>
      <c r="L500" s="3">
        <f t="shared" ref="L500:L562" si="8">K500*C500</f>
        <v>0</v>
      </c>
      <c r="N500" t="s">
        <v>1741</v>
      </c>
      <c r="O500" t="s">
        <v>1742</v>
      </c>
      <c r="P500">
        <v>5.62</v>
      </c>
    </row>
    <row r="501" spans="1:16" x14ac:dyDescent="0.35">
      <c r="A501" s="5" t="str">
        <f>HYPERLINK("https://tienda.tarracoimportexport.com/index.php?id_product=6860&amp;controller=product&amp;id_lang=4", "TR007962")</f>
        <v>TR007962</v>
      </c>
      <c r="B501" t="s">
        <v>1743</v>
      </c>
      <c r="D501" s="4">
        <v>3732</v>
      </c>
      <c r="E501" t="s">
        <v>1744</v>
      </c>
      <c r="F501" t="s">
        <v>16</v>
      </c>
      <c r="G501" t="s">
        <v>50</v>
      </c>
      <c r="H501">
        <v>23</v>
      </c>
      <c r="I501">
        <v>1104</v>
      </c>
      <c r="J501" t="s">
        <v>1740</v>
      </c>
      <c r="K501" s="17">
        <v>2.52</v>
      </c>
      <c r="L501" s="3">
        <f t="shared" si="8"/>
        <v>0</v>
      </c>
      <c r="N501" t="s">
        <v>1745</v>
      </c>
      <c r="O501" t="s">
        <v>1746</v>
      </c>
      <c r="P501">
        <v>5.63</v>
      </c>
    </row>
    <row r="502" spans="1:16" x14ac:dyDescent="0.35">
      <c r="A502" s="5" t="str">
        <f>HYPERLINK("https://tienda.tarracoimportexport.com/index.php?id_product=10909&amp;controller=product&amp;id_lang=4", "TR011855")</f>
        <v>TR011855</v>
      </c>
      <c r="B502" t="s">
        <v>1747</v>
      </c>
      <c r="D502" s="4">
        <v>6384</v>
      </c>
      <c r="E502" t="s">
        <v>1748</v>
      </c>
      <c r="F502" t="s">
        <v>606</v>
      </c>
      <c r="G502" t="s">
        <v>39</v>
      </c>
      <c r="H502">
        <v>42</v>
      </c>
      <c r="I502">
        <v>4032</v>
      </c>
      <c r="J502" t="s">
        <v>1749</v>
      </c>
      <c r="K502" s="17">
        <v>3.89</v>
      </c>
      <c r="L502" s="3">
        <f t="shared" si="8"/>
        <v>0</v>
      </c>
      <c r="N502" t="s">
        <v>1750</v>
      </c>
      <c r="O502" t="s">
        <v>1751</v>
      </c>
      <c r="P502">
        <v>0.71699999999999997</v>
      </c>
    </row>
    <row r="503" spans="1:16" x14ac:dyDescent="0.35">
      <c r="A503" s="5" t="str">
        <f>HYPERLINK("https://tienda.tarracoimportexport.com/index.php?id_product=10907&amp;controller=product&amp;id_lang=4", "TR011853")</f>
        <v>TR011853</v>
      </c>
      <c r="B503" t="s">
        <v>1752</v>
      </c>
      <c r="D503" s="4">
        <v>2658</v>
      </c>
      <c r="E503" t="s">
        <v>1753</v>
      </c>
      <c r="F503" t="s">
        <v>16</v>
      </c>
      <c r="G503" t="s">
        <v>39</v>
      </c>
      <c r="H503">
        <v>36</v>
      </c>
      <c r="I503">
        <v>3024</v>
      </c>
      <c r="J503" t="s">
        <v>1754</v>
      </c>
      <c r="K503" s="17">
        <v>3.89</v>
      </c>
      <c r="L503" s="3">
        <f t="shared" si="8"/>
        <v>0</v>
      </c>
      <c r="N503" t="s">
        <v>1755</v>
      </c>
      <c r="O503" t="s">
        <v>1756</v>
      </c>
      <c r="P503">
        <v>1.05</v>
      </c>
    </row>
    <row r="504" spans="1:16" x14ac:dyDescent="0.35">
      <c r="A504" s="5" t="str">
        <f>HYPERLINK("https://tienda.tarracoimportexport.com/index.php?id_product=10908&amp;controller=product&amp;id_lang=4", "TR011854")</f>
        <v>TR011854</v>
      </c>
      <c r="B504" t="s">
        <v>1757</v>
      </c>
      <c r="D504" s="4">
        <v>672</v>
      </c>
      <c r="E504" t="s">
        <v>1758</v>
      </c>
      <c r="F504" t="s">
        <v>16</v>
      </c>
      <c r="G504" t="s">
        <v>50</v>
      </c>
      <c r="H504">
        <v>54</v>
      </c>
      <c r="I504">
        <v>3888</v>
      </c>
      <c r="J504" t="s">
        <v>1759</v>
      </c>
      <c r="K504" s="17">
        <v>4.55</v>
      </c>
      <c r="L504" s="3">
        <f t="shared" si="8"/>
        <v>0</v>
      </c>
      <c r="N504" t="s">
        <v>1760</v>
      </c>
      <c r="O504" t="s">
        <v>1751</v>
      </c>
      <c r="P504">
        <v>0.69099999999999995</v>
      </c>
    </row>
    <row r="505" spans="1:16" x14ac:dyDescent="0.35">
      <c r="A505" s="5" t="str">
        <f>HYPERLINK("https://tienda.tarracoimportexport.com/index.php?id_product=7590&amp;controller=product&amp;id_lang=4", "TR008760")</f>
        <v>TR008760</v>
      </c>
      <c r="B505" t="s">
        <v>1761</v>
      </c>
      <c r="D505" s="4">
        <v>11508</v>
      </c>
      <c r="E505" t="s">
        <v>1762</v>
      </c>
      <c r="F505" t="s">
        <v>16</v>
      </c>
      <c r="G505" t="s">
        <v>39</v>
      </c>
      <c r="H505">
        <v>45</v>
      </c>
      <c r="I505">
        <v>2430</v>
      </c>
      <c r="J505" t="s">
        <v>1763</v>
      </c>
      <c r="K505" s="17">
        <v>1.88</v>
      </c>
      <c r="L505" s="3">
        <f t="shared" si="8"/>
        <v>0</v>
      </c>
      <c r="N505" t="s">
        <v>1764</v>
      </c>
      <c r="O505" t="s">
        <v>1765</v>
      </c>
      <c r="P505">
        <v>0.51</v>
      </c>
    </row>
    <row r="506" spans="1:16" x14ac:dyDescent="0.35">
      <c r="A506" s="5" t="str">
        <f>HYPERLINK("https://tienda.tarracoimportexport.com/index.php?id_product=464&amp;controller=product&amp;id_lang=4", "TR002237")</f>
        <v>TR002237</v>
      </c>
      <c r="B506" t="s">
        <v>1766</v>
      </c>
      <c r="D506" s="4">
        <v>121056</v>
      </c>
      <c r="E506" t="s">
        <v>1767</v>
      </c>
      <c r="F506" t="s">
        <v>16</v>
      </c>
      <c r="G506" t="s">
        <v>106</v>
      </c>
      <c r="H506">
        <v>24</v>
      </c>
      <c r="I506">
        <v>4032</v>
      </c>
      <c r="J506" t="s">
        <v>363</v>
      </c>
      <c r="K506" s="17">
        <v>1.35</v>
      </c>
      <c r="L506" s="3">
        <f t="shared" si="8"/>
        <v>0</v>
      </c>
      <c r="N506" t="s">
        <v>1768</v>
      </c>
      <c r="O506" t="s">
        <v>952</v>
      </c>
      <c r="P506">
        <v>1.67</v>
      </c>
    </row>
    <row r="507" spans="1:16" x14ac:dyDescent="0.35">
      <c r="A507" s="5" t="str">
        <f>HYPERLINK("https://tienda.tarracoimportexport.com/index.php?id_product=10769&amp;controller=product&amp;id_lang=4", "TR011726")</f>
        <v>TR011726</v>
      </c>
      <c r="B507" t="s">
        <v>1769</v>
      </c>
      <c r="D507" s="4">
        <v>89592</v>
      </c>
      <c r="E507" t="s">
        <v>1770</v>
      </c>
      <c r="F507" t="s">
        <v>16</v>
      </c>
      <c r="G507" t="s">
        <v>106</v>
      </c>
      <c r="H507">
        <v>24</v>
      </c>
      <c r="I507">
        <v>4032</v>
      </c>
      <c r="J507" t="s">
        <v>363</v>
      </c>
      <c r="K507" s="17">
        <v>1.35</v>
      </c>
      <c r="L507" s="3">
        <f t="shared" si="8"/>
        <v>0</v>
      </c>
      <c r="N507" t="s">
        <v>1771</v>
      </c>
      <c r="O507" t="s">
        <v>952</v>
      </c>
      <c r="P507">
        <v>1.5649999999999999</v>
      </c>
    </row>
    <row r="508" spans="1:16" x14ac:dyDescent="0.35">
      <c r="A508" s="5" t="str">
        <f>HYPERLINK("https://tienda.tarracoimportexport.com/index.php?id_product=9825&amp;controller=product&amp;id_lang=4", "TR010871")</f>
        <v>TR010871</v>
      </c>
      <c r="B508" t="s">
        <v>1772</v>
      </c>
      <c r="D508" s="4">
        <v>6300</v>
      </c>
      <c r="E508" t="s">
        <v>1773</v>
      </c>
      <c r="F508" t="s">
        <v>16</v>
      </c>
      <c r="G508" t="s">
        <v>39</v>
      </c>
      <c r="H508">
        <v>36</v>
      </c>
      <c r="I508">
        <v>2808</v>
      </c>
      <c r="J508" t="s">
        <v>1774</v>
      </c>
      <c r="K508" s="17">
        <v>4.95</v>
      </c>
      <c r="L508" s="3">
        <f t="shared" si="8"/>
        <v>0</v>
      </c>
      <c r="N508" t="s">
        <v>1775</v>
      </c>
      <c r="O508" t="s">
        <v>1751</v>
      </c>
      <c r="P508">
        <v>1.0549999999999999</v>
      </c>
    </row>
    <row r="509" spans="1:16" x14ac:dyDescent="0.35">
      <c r="A509" s="5" t="str">
        <f>HYPERLINK("https://tienda.tarracoimportexport.com/index.php?id_product=9826&amp;controller=product&amp;id_lang=4", "TR010872")</f>
        <v>TR010872</v>
      </c>
      <c r="B509" t="s">
        <v>1776</v>
      </c>
      <c r="D509" s="4">
        <v>1134</v>
      </c>
      <c r="E509" t="s">
        <v>1777</v>
      </c>
      <c r="F509" t="s">
        <v>16</v>
      </c>
      <c r="G509" t="s">
        <v>39</v>
      </c>
      <c r="H509">
        <v>36</v>
      </c>
      <c r="I509">
        <v>2808</v>
      </c>
      <c r="J509" t="s">
        <v>1774</v>
      </c>
      <c r="K509" s="17">
        <v>4.95</v>
      </c>
      <c r="L509" s="3">
        <f t="shared" si="8"/>
        <v>0</v>
      </c>
      <c r="N509" t="s">
        <v>1778</v>
      </c>
      <c r="O509" t="s">
        <v>1779</v>
      </c>
      <c r="P509">
        <v>1.05</v>
      </c>
    </row>
    <row r="510" spans="1:16" x14ac:dyDescent="0.35">
      <c r="A510" s="5" t="str">
        <f>HYPERLINK("https://tienda.tarracoimportexport.com/index.php?id_product=9394&amp;controller=product&amp;id_lang=4", "TR010468")</f>
        <v>TR010468</v>
      </c>
      <c r="B510" t="s">
        <v>1780</v>
      </c>
      <c r="D510" s="4">
        <v>4164</v>
      </c>
      <c r="E510" t="s">
        <v>1781</v>
      </c>
      <c r="F510" t="s">
        <v>16</v>
      </c>
      <c r="G510" t="s">
        <v>39</v>
      </c>
      <c r="H510">
        <v>36</v>
      </c>
      <c r="I510">
        <v>2808</v>
      </c>
      <c r="J510" t="s">
        <v>1774</v>
      </c>
      <c r="K510" s="17">
        <v>4.25</v>
      </c>
      <c r="L510" s="3">
        <f t="shared" si="8"/>
        <v>0</v>
      </c>
      <c r="N510" t="s">
        <v>1782</v>
      </c>
      <c r="O510" t="s">
        <v>1184</v>
      </c>
      <c r="P510">
        <v>1.04</v>
      </c>
    </row>
    <row r="511" spans="1:16" x14ac:dyDescent="0.35">
      <c r="A511" s="5" t="str">
        <f>HYPERLINK("https://tienda.tarracoimportexport.com/index.php?id_product=10699&amp;controller=product&amp;id_lang=4", "TR011672")</f>
        <v>TR011672</v>
      </c>
      <c r="B511" t="s">
        <v>1783</v>
      </c>
      <c r="D511" s="4">
        <v>10992</v>
      </c>
      <c r="E511" t="s">
        <v>1784</v>
      </c>
      <c r="F511" t="s">
        <v>16</v>
      </c>
      <c r="G511" t="s">
        <v>106</v>
      </c>
      <c r="H511">
        <v>35</v>
      </c>
      <c r="I511">
        <v>5040</v>
      </c>
      <c r="J511" t="s">
        <v>945</v>
      </c>
      <c r="K511" s="17">
        <v>2.75</v>
      </c>
      <c r="L511" s="3">
        <f t="shared" si="8"/>
        <v>0</v>
      </c>
      <c r="N511" t="s">
        <v>1785</v>
      </c>
      <c r="O511" t="s">
        <v>1184</v>
      </c>
      <c r="P511">
        <v>0.71</v>
      </c>
    </row>
    <row r="512" spans="1:16" x14ac:dyDescent="0.35">
      <c r="A512" s="5" t="str">
        <f>HYPERLINK("https://tienda.tarracoimportexport.com/index.php?id_product=9087&amp;controller=product&amp;id_lang=4", "TR010171")</f>
        <v>TR010171</v>
      </c>
      <c r="B512" t="s">
        <v>1786</v>
      </c>
      <c r="D512" s="4">
        <v>7164</v>
      </c>
      <c r="E512" t="s">
        <v>1787</v>
      </c>
      <c r="F512" t="s">
        <v>16</v>
      </c>
      <c r="G512" t="s">
        <v>39</v>
      </c>
      <c r="H512">
        <v>38</v>
      </c>
      <c r="I512">
        <v>912</v>
      </c>
      <c r="J512" t="s">
        <v>1788</v>
      </c>
      <c r="K512" s="17">
        <v>2.42</v>
      </c>
      <c r="L512" s="3">
        <f t="shared" si="8"/>
        <v>0</v>
      </c>
      <c r="N512" t="s">
        <v>1789</v>
      </c>
      <c r="O512" t="s">
        <v>952</v>
      </c>
      <c r="P512">
        <v>2.78</v>
      </c>
    </row>
    <row r="513" spans="1:16" x14ac:dyDescent="0.35">
      <c r="A513" s="5" t="str">
        <f>HYPERLINK("https://tienda.tarracoimportexport.com/index.php?id_product=10912&amp;controller=product&amp;id_lang=4", "TR011858")</f>
        <v>TR011858</v>
      </c>
      <c r="B513" t="s">
        <v>1790</v>
      </c>
      <c r="D513" s="4">
        <v>4116</v>
      </c>
      <c r="E513" t="s">
        <v>1791</v>
      </c>
      <c r="F513" t="s">
        <v>130</v>
      </c>
      <c r="G513" t="s">
        <v>39</v>
      </c>
      <c r="H513">
        <v>77</v>
      </c>
      <c r="I513">
        <v>4158</v>
      </c>
      <c r="J513" t="s">
        <v>1792</v>
      </c>
      <c r="K513" s="17">
        <v>5.4</v>
      </c>
      <c r="L513" s="3">
        <f t="shared" si="8"/>
        <v>0</v>
      </c>
      <c r="N513" t="s">
        <v>1793</v>
      </c>
      <c r="O513" t="s">
        <v>1794</v>
      </c>
      <c r="P513">
        <v>0.36</v>
      </c>
    </row>
    <row r="514" spans="1:16" x14ac:dyDescent="0.35">
      <c r="A514" s="5" t="str">
        <f>HYPERLINK("https://tienda.tarracoimportexport.com/index.php?id_product=6902&amp;controller=product&amp;id_lang=4", "TR007999")</f>
        <v>TR007999</v>
      </c>
      <c r="B514" t="s">
        <v>1795</v>
      </c>
      <c r="D514" s="4">
        <v>2988</v>
      </c>
      <c r="E514" t="s">
        <v>1796</v>
      </c>
      <c r="F514" t="s">
        <v>16</v>
      </c>
      <c r="G514" t="s">
        <v>22</v>
      </c>
      <c r="H514">
        <v>15</v>
      </c>
      <c r="I514">
        <v>3780</v>
      </c>
      <c r="J514" t="s">
        <v>311</v>
      </c>
      <c r="K514" s="17">
        <v>0.57999999999999996</v>
      </c>
      <c r="L514" s="3">
        <f t="shared" si="8"/>
        <v>0</v>
      </c>
      <c r="N514" t="s">
        <v>1797</v>
      </c>
      <c r="O514" t="s">
        <v>1798</v>
      </c>
      <c r="P514">
        <v>3.97</v>
      </c>
    </row>
    <row r="515" spans="1:16" x14ac:dyDescent="0.35">
      <c r="A515" s="5" t="str">
        <f>HYPERLINK("https://tienda.tarracoimportexport.com/index.php?id_product=6903&amp;controller=product&amp;id_lang=4", "TR008000")</f>
        <v>TR008000</v>
      </c>
      <c r="B515" t="s">
        <v>1799</v>
      </c>
      <c r="D515" s="4">
        <v>2988</v>
      </c>
      <c r="E515" t="s">
        <v>1800</v>
      </c>
      <c r="F515" t="s">
        <v>16</v>
      </c>
      <c r="G515" t="s">
        <v>22</v>
      </c>
      <c r="H515">
        <v>15</v>
      </c>
      <c r="I515">
        <v>3780</v>
      </c>
      <c r="J515" t="s">
        <v>311</v>
      </c>
      <c r="K515" s="17">
        <v>0.57999999999999996</v>
      </c>
      <c r="L515" s="3">
        <f t="shared" si="8"/>
        <v>0</v>
      </c>
      <c r="N515" t="s">
        <v>1801</v>
      </c>
      <c r="O515" t="s">
        <v>1798</v>
      </c>
      <c r="P515">
        <v>3.96</v>
      </c>
    </row>
    <row r="516" spans="1:16" x14ac:dyDescent="0.35">
      <c r="A516" s="5" t="str">
        <f>HYPERLINK("https://tienda.tarracoimportexport.com/index.php?id_product=9751&amp;controller=product&amp;id_lang=4", "TR010800")</f>
        <v>TR010800</v>
      </c>
      <c r="B516" t="s">
        <v>1802</v>
      </c>
      <c r="D516" s="4">
        <v>1332</v>
      </c>
      <c r="E516" t="s">
        <v>1803</v>
      </c>
      <c r="F516" t="s">
        <v>16</v>
      </c>
      <c r="G516" t="s">
        <v>50</v>
      </c>
      <c r="H516">
        <v>19</v>
      </c>
      <c r="I516">
        <v>912</v>
      </c>
      <c r="J516" t="s">
        <v>213</v>
      </c>
      <c r="K516" s="17">
        <v>2.9</v>
      </c>
      <c r="L516" s="3">
        <f t="shared" si="8"/>
        <v>0</v>
      </c>
      <c r="N516" t="s">
        <v>1804</v>
      </c>
      <c r="O516" t="s">
        <v>30</v>
      </c>
      <c r="P516">
        <v>5.14</v>
      </c>
    </row>
    <row r="517" spans="1:16" x14ac:dyDescent="0.35">
      <c r="A517" s="5" t="str">
        <f>HYPERLINK("https://tienda.tarracoimportexport.com/index.php?id_product=9750&amp;controller=product&amp;id_lang=4", "TR010799")</f>
        <v>TR010799</v>
      </c>
      <c r="B517" t="s">
        <v>1805</v>
      </c>
      <c r="D517" s="4">
        <v>672</v>
      </c>
      <c r="E517" t="s">
        <v>1806</v>
      </c>
      <c r="F517" t="s">
        <v>16</v>
      </c>
      <c r="G517" t="s">
        <v>50</v>
      </c>
      <c r="H517">
        <v>19</v>
      </c>
      <c r="I517">
        <v>912</v>
      </c>
      <c r="J517" t="s">
        <v>213</v>
      </c>
      <c r="K517" s="17">
        <v>2.88</v>
      </c>
      <c r="L517" s="3">
        <f t="shared" si="8"/>
        <v>0</v>
      </c>
      <c r="N517" t="s">
        <v>1807</v>
      </c>
      <c r="O517" t="s">
        <v>30</v>
      </c>
      <c r="P517">
        <v>5.15</v>
      </c>
    </row>
    <row r="518" spans="1:16" x14ac:dyDescent="0.35">
      <c r="A518" s="5" t="str">
        <f>HYPERLINK("https://tienda.tarracoimportexport.com/index.php?id_product=856&amp;controller=product&amp;id_lang=4", "TR000493")</f>
        <v>TR000493</v>
      </c>
      <c r="B518" t="s">
        <v>1808</v>
      </c>
      <c r="D518" s="4">
        <v>9408</v>
      </c>
      <c r="E518" t="s">
        <v>1809</v>
      </c>
      <c r="F518" t="s">
        <v>16</v>
      </c>
      <c r="G518" t="s">
        <v>106</v>
      </c>
      <c r="H518">
        <v>12</v>
      </c>
      <c r="I518">
        <v>2304</v>
      </c>
      <c r="J518" t="s">
        <v>374</v>
      </c>
      <c r="K518" s="17">
        <v>1.62</v>
      </c>
      <c r="L518" s="3">
        <f t="shared" si="8"/>
        <v>0</v>
      </c>
      <c r="N518" t="s">
        <v>1810</v>
      </c>
      <c r="O518" t="s">
        <v>1811</v>
      </c>
      <c r="P518">
        <v>4</v>
      </c>
    </row>
    <row r="519" spans="1:16" x14ac:dyDescent="0.35">
      <c r="A519" s="5" t="str">
        <f>HYPERLINK("https://tienda.tarracoimportexport.com/index.php?id_product=146&amp;controller=product&amp;id_lang=4", "TR000497")</f>
        <v>TR000497</v>
      </c>
      <c r="B519" t="s">
        <v>1812</v>
      </c>
      <c r="D519" s="4">
        <v>7104</v>
      </c>
      <c r="E519" t="s">
        <v>1813</v>
      </c>
      <c r="F519" t="s">
        <v>16</v>
      </c>
      <c r="G519" t="s">
        <v>106</v>
      </c>
      <c r="H519">
        <v>12</v>
      </c>
      <c r="I519">
        <v>1440</v>
      </c>
      <c r="J519" t="s">
        <v>516</v>
      </c>
      <c r="K519" s="17">
        <v>2.2599999999999998</v>
      </c>
      <c r="L519" s="3">
        <f t="shared" si="8"/>
        <v>0</v>
      </c>
      <c r="N519" t="s">
        <v>1814</v>
      </c>
      <c r="O519" t="s">
        <v>59</v>
      </c>
      <c r="P519">
        <v>6.72</v>
      </c>
    </row>
    <row r="520" spans="1:16" x14ac:dyDescent="0.35">
      <c r="A520" s="5" t="str">
        <f>HYPERLINK("https://tienda.tarracoimportexport.com/index.php?id_product=766&amp;controller=product&amp;id_lang=4", "TR002456")</f>
        <v>TR002456</v>
      </c>
      <c r="B520" t="s">
        <v>1815</v>
      </c>
      <c r="D520" s="4">
        <v>41256</v>
      </c>
      <c r="E520" t="s">
        <v>1816</v>
      </c>
      <c r="F520" t="s">
        <v>16</v>
      </c>
      <c r="G520" t="s">
        <v>106</v>
      </c>
      <c r="H520">
        <v>10</v>
      </c>
      <c r="I520">
        <v>1200</v>
      </c>
      <c r="J520" t="s">
        <v>327</v>
      </c>
      <c r="K520" s="17">
        <v>3.09</v>
      </c>
      <c r="L520" s="3">
        <f t="shared" si="8"/>
        <v>0</v>
      </c>
      <c r="N520" t="s">
        <v>1817</v>
      </c>
      <c r="O520" t="s">
        <v>59</v>
      </c>
      <c r="P520">
        <v>10.5</v>
      </c>
    </row>
    <row r="521" spans="1:16" x14ac:dyDescent="0.35">
      <c r="A521" s="5" t="str">
        <f>HYPERLINK("https://tienda.tarracoimportexport.com/index.php?id_product=847&amp;controller=product&amp;id_lang=4", "TR000784")</f>
        <v>TR000784</v>
      </c>
      <c r="B521" t="s">
        <v>1818</v>
      </c>
      <c r="D521" s="4">
        <v>10128</v>
      </c>
      <c r="E521" t="s">
        <v>1819</v>
      </c>
      <c r="F521" t="s">
        <v>16</v>
      </c>
      <c r="G521" t="s">
        <v>106</v>
      </c>
      <c r="H521">
        <v>19</v>
      </c>
      <c r="I521">
        <v>5016</v>
      </c>
      <c r="J521" t="s">
        <v>1820</v>
      </c>
      <c r="K521" s="17">
        <v>1.1299999999999999</v>
      </c>
      <c r="L521" s="3">
        <f t="shared" si="8"/>
        <v>0</v>
      </c>
      <c r="N521" t="s">
        <v>1819</v>
      </c>
      <c r="O521" t="s">
        <v>59</v>
      </c>
      <c r="P521">
        <v>2.14</v>
      </c>
    </row>
    <row r="522" spans="1:16" x14ac:dyDescent="0.35">
      <c r="A522" s="5" t="str">
        <f>HYPERLINK("https://tienda.tarracoimportexport.com/index.php?id_product=9576&amp;controller=product&amp;id_lang=4", "TR010633")</f>
        <v>TR010633</v>
      </c>
      <c r="B522" t="s">
        <v>1821</v>
      </c>
      <c r="D522" s="4">
        <v>3960</v>
      </c>
      <c r="E522" t="s">
        <v>1822</v>
      </c>
      <c r="F522" t="s">
        <v>16</v>
      </c>
      <c r="G522" t="s">
        <v>50</v>
      </c>
      <c r="H522">
        <v>20</v>
      </c>
      <c r="I522">
        <v>960</v>
      </c>
      <c r="J522" t="s">
        <v>140</v>
      </c>
      <c r="K522" s="17">
        <v>3.32</v>
      </c>
      <c r="L522" s="3">
        <f t="shared" si="8"/>
        <v>0</v>
      </c>
      <c r="N522" t="s">
        <v>1823</v>
      </c>
      <c r="O522" t="s">
        <v>550</v>
      </c>
      <c r="P522">
        <v>5.0949999999999998</v>
      </c>
    </row>
    <row r="523" spans="1:16" x14ac:dyDescent="0.35">
      <c r="A523" s="5" t="str">
        <f>HYPERLINK("https://tienda.tarracoimportexport.com/index.php?id_product=10641&amp;controller=product&amp;id_lang=4", "TR011616")</f>
        <v>TR011616</v>
      </c>
      <c r="B523" t="s">
        <v>1821</v>
      </c>
      <c r="D523" s="4">
        <v>5124</v>
      </c>
      <c r="E523" t="s">
        <v>1822</v>
      </c>
      <c r="F523" t="s">
        <v>16</v>
      </c>
      <c r="G523" t="s">
        <v>50</v>
      </c>
      <c r="H523">
        <v>20</v>
      </c>
      <c r="I523">
        <v>960</v>
      </c>
      <c r="J523" t="s">
        <v>140</v>
      </c>
      <c r="K523" s="17">
        <v>3.32</v>
      </c>
      <c r="L523" s="3">
        <f t="shared" si="8"/>
        <v>0</v>
      </c>
      <c r="N523" t="s">
        <v>1824</v>
      </c>
      <c r="O523" t="s">
        <v>42</v>
      </c>
      <c r="P523">
        <v>0</v>
      </c>
    </row>
    <row r="524" spans="1:16" x14ac:dyDescent="0.35">
      <c r="A524" s="5" t="str">
        <f>HYPERLINK("https://tienda.tarracoimportexport.com/index.php?id_product=2190&amp;controller=product&amp;id_lang=4", "TR003707")</f>
        <v>TR003707</v>
      </c>
      <c r="B524" t="s">
        <v>1825</v>
      </c>
      <c r="D524" s="4">
        <v>9462</v>
      </c>
      <c r="E524" t="s">
        <v>1826</v>
      </c>
      <c r="F524" t="s">
        <v>16</v>
      </c>
      <c r="G524" t="s">
        <v>39</v>
      </c>
      <c r="H524">
        <v>73</v>
      </c>
      <c r="I524">
        <v>3942</v>
      </c>
      <c r="J524" t="s">
        <v>1827</v>
      </c>
      <c r="K524" s="17">
        <v>1.19</v>
      </c>
      <c r="L524" s="3">
        <f t="shared" si="8"/>
        <v>0</v>
      </c>
      <c r="N524" t="s">
        <v>1828</v>
      </c>
      <c r="O524" t="s">
        <v>1829</v>
      </c>
      <c r="P524">
        <v>1</v>
      </c>
    </row>
    <row r="525" spans="1:16" x14ac:dyDescent="0.35">
      <c r="A525" s="5" t="str">
        <f>HYPERLINK("https://tienda.tarracoimportexport.com/index.php?id_product=7328&amp;controller=product&amp;id_lang=4", "TR008514")</f>
        <v>TR008514</v>
      </c>
      <c r="B525" t="s">
        <v>1830</v>
      </c>
      <c r="D525" s="4">
        <v>1074</v>
      </c>
      <c r="E525" t="s">
        <v>1831</v>
      </c>
      <c r="F525" t="s">
        <v>16</v>
      </c>
      <c r="G525" t="s">
        <v>39</v>
      </c>
      <c r="H525">
        <v>73</v>
      </c>
      <c r="I525">
        <v>3942</v>
      </c>
      <c r="J525" t="s">
        <v>1827</v>
      </c>
      <c r="K525" s="17">
        <v>1.19</v>
      </c>
      <c r="L525" s="3">
        <f t="shared" si="8"/>
        <v>0</v>
      </c>
      <c r="N525" t="s">
        <v>1832</v>
      </c>
      <c r="O525" t="s">
        <v>1829</v>
      </c>
      <c r="P525">
        <v>0.95</v>
      </c>
    </row>
    <row r="526" spans="1:16" x14ac:dyDescent="0.35">
      <c r="A526" s="5" t="str">
        <f>HYPERLINK("https://tienda.tarracoimportexport.com/index.php?id_product=10648&amp;controller=product&amp;id_lang=4", "TR011623")</f>
        <v>TR011623</v>
      </c>
      <c r="B526" t="s">
        <v>1830</v>
      </c>
      <c r="D526" s="4">
        <v>3498</v>
      </c>
      <c r="E526" t="s">
        <v>1831</v>
      </c>
      <c r="F526" t="s">
        <v>16</v>
      </c>
      <c r="G526" t="s">
        <v>39</v>
      </c>
      <c r="H526">
        <v>81</v>
      </c>
      <c r="I526">
        <v>3888</v>
      </c>
      <c r="J526" t="s">
        <v>1833</v>
      </c>
      <c r="K526" s="17">
        <v>1.19</v>
      </c>
      <c r="L526" s="3">
        <f t="shared" si="8"/>
        <v>0</v>
      </c>
      <c r="N526" t="s">
        <v>1834</v>
      </c>
      <c r="O526" t="s">
        <v>1835</v>
      </c>
      <c r="P526">
        <v>0.86</v>
      </c>
    </row>
    <row r="527" spans="1:16" x14ac:dyDescent="0.35">
      <c r="A527" s="5" t="str">
        <f>HYPERLINK("https://tienda.tarracoimportexport.com/index.php?id_product=8851&amp;controller=product&amp;id_lang=4", "TR009951")</f>
        <v>TR009951</v>
      </c>
      <c r="B527" t="s">
        <v>1836</v>
      </c>
      <c r="D527" s="4">
        <v>26886</v>
      </c>
      <c r="E527" t="s">
        <v>1837</v>
      </c>
      <c r="F527" t="s">
        <v>16</v>
      </c>
      <c r="G527" t="s">
        <v>39</v>
      </c>
      <c r="H527">
        <v>100</v>
      </c>
      <c r="I527">
        <v>5400</v>
      </c>
      <c r="J527" t="s">
        <v>1838</v>
      </c>
      <c r="K527" s="17">
        <v>0.95</v>
      </c>
      <c r="L527" s="3">
        <f t="shared" si="8"/>
        <v>0</v>
      </c>
      <c r="N527" t="s">
        <v>1839</v>
      </c>
      <c r="O527" t="s">
        <v>71</v>
      </c>
      <c r="P527">
        <v>0.98</v>
      </c>
    </row>
    <row r="528" spans="1:16" x14ac:dyDescent="0.35">
      <c r="A528" s="5" t="str">
        <f>HYPERLINK("https://tienda.tarracoimportexport.com/index.php?id_product=8784&amp;controller=product&amp;id_lang=4", "TR009895")</f>
        <v>TR009895</v>
      </c>
      <c r="B528" t="s">
        <v>1840</v>
      </c>
      <c r="D528" s="4">
        <v>36450</v>
      </c>
      <c r="E528" t="s">
        <v>1841</v>
      </c>
      <c r="F528" t="s">
        <v>16</v>
      </c>
      <c r="G528" t="s">
        <v>39</v>
      </c>
      <c r="H528">
        <v>90</v>
      </c>
      <c r="I528">
        <v>5400</v>
      </c>
      <c r="J528" t="s">
        <v>1838</v>
      </c>
      <c r="K528" s="17">
        <v>0.95</v>
      </c>
      <c r="L528" s="3">
        <f t="shared" si="8"/>
        <v>0</v>
      </c>
      <c r="N528" t="s">
        <v>1842</v>
      </c>
      <c r="O528" t="s">
        <v>71</v>
      </c>
      <c r="P528">
        <v>0.98</v>
      </c>
    </row>
    <row r="529" spans="1:16" x14ac:dyDescent="0.35">
      <c r="A529" s="5" t="str">
        <f>HYPERLINK("https://tienda.tarracoimportexport.com/index.php?id_product=2183&amp;controller=product&amp;id_lang=4", "TR003702")</f>
        <v>TR003702</v>
      </c>
      <c r="B529" t="s">
        <v>1843</v>
      </c>
      <c r="D529" s="4">
        <v>9624</v>
      </c>
      <c r="E529" t="s">
        <v>1844</v>
      </c>
      <c r="F529" t="s">
        <v>16</v>
      </c>
      <c r="G529" t="s">
        <v>39</v>
      </c>
      <c r="H529">
        <v>73</v>
      </c>
      <c r="I529">
        <v>3942</v>
      </c>
      <c r="J529" t="s">
        <v>1827</v>
      </c>
      <c r="K529" s="17">
        <v>1.19</v>
      </c>
      <c r="L529" s="3">
        <f t="shared" si="8"/>
        <v>0</v>
      </c>
      <c r="N529" t="s">
        <v>1845</v>
      </c>
      <c r="O529" t="s">
        <v>30</v>
      </c>
      <c r="P529">
        <v>0.98</v>
      </c>
    </row>
    <row r="530" spans="1:16" x14ac:dyDescent="0.35">
      <c r="A530" s="5" t="str">
        <f>HYPERLINK("https://tienda.tarracoimportexport.com/index.php?id_product=9609&amp;controller=product&amp;id_lang=4", "TR010663")</f>
        <v>TR010663</v>
      </c>
      <c r="B530" t="s">
        <v>1846</v>
      </c>
      <c r="D530" s="4">
        <v>1500</v>
      </c>
      <c r="E530" t="s">
        <v>1847</v>
      </c>
      <c r="F530" t="s">
        <v>16</v>
      </c>
      <c r="G530" t="s">
        <v>50</v>
      </c>
      <c r="H530">
        <v>32</v>
      </c>
      <c r="I530">
        <v>1536</v>
      </c>
      <c r="J530" t="s">
        <v>628</v>
      </c>
      <c r="K530" s="17">
        <v>1.78</v>
      </c>
      <c r="L530" s="3">
        <f t="shared" si="8"/>
        <v>0</v>
      </c>
      <c r="N530" t="s">
        <v>1848</v>
      </c>
      <c r="O530" t="s">
        <v>1849</v>
      </c>
      <c r="P530">
        <v>2.0699999999999998</v>
      </c>
    </row>
    <row r="531" spans="1:16" x14ac:dyDescent="0.35">
      <c r="A531" s="5" t="str">
        <f>HYPERLINK("https://tienda.tarracoimportexport.com/index.php?id_product=9794&amp;controller=product&amp;id_lang=4", "TR010842")</f>
        <v>TR010842</v>
      </c>
      <c r="B531" t="s">
        <v>1850</v>
      </c>
      <c r="D531" s="4">
        <v>1152</v>
      </c>
      <c r="E531" t="s">
        <v>1851</v>
      </c>
      <c r="F531" t="s">
        <v>16</v>
      </c>
      <c r="G531" t="s">
        <v>50</v>
      </c>
      <c r="H531">
        <v>32</v>
      </c>
      <c r="I531">
        <v>1536</v>
      </c>
      <c r="J531" t="s">
        <v>628</v>
      </c>
      <c r="K531" s="17">
        <v>1.66</v>
      </c>
      <c r="L531" s="3">
        <f t="shared" si="8"/>
        <v>0</v>
      </c>
      <c r="N531" t="s">
        <v>1852</v>
      </c>
      <c r="O531" t="s">
        <v>1849</v>
      </c>
      <c r="P531">
        <v>2.0750000000000002</v>
      </c>
    </row>
    <row r="532" spans="1:16" x14ac:dyDescent="0.35">
      <c r="A532" s="5" t="str">
        <f>HYPERLINK("https://tienda.tarracoimportexport.com/index.php?id_product=9738&amp;controller=product&amp;id_lang=4", "TR010788")</f>
        <v>TR010788</v>
      </c>
      <c r="B532" t="s">
        <v>1853</v>
      </c>
      <c r="D532" s="4">
        <v>1392</v>
      </c>
      <c r="E532" t="s">
        <v>1854</v>
      </c>
      <c r="F532" t="s">
        <v>16</v>
      </c>
      <c r="G532" t="s">
        <v>50</v>
      </c>
      <c r="H532">
        <v>32</v>
      </c>
      <c r="I532">
        <v>1536</v>
      </c>
      <c r="J532" t="s">
        <v>628</v>
      </c>
      <c r="K532" s="17">
        <v>1.78</v>
      </c>
      <c r="L532" s="3">
        <f t="shared" si="8"/>
        <v>0</v>
      </c>
      <c r="N532" t="s">
        <v>1855</v>
      </c>
      <c r="O532" t="s">
        <v>1849</v>
      </c>
      <c r="P532">
        <v>2.0499999999999998</v>
      </c>
    </row>
    <row r="533" spans="1:16" x14ac:dyDescent="0.35">
      <c r="A533" s="5" t="str">
        <f>HYPERLINK("https://tienda.tarracoimportexport.com/index.php?id_product=3015&amp;controller=product&amp;id_lang=4", "TR004474")</f>
        <v>TR004474</v>
      </c>
      <c r="B533" t="s">
        <v>1856</v>
      </c>
      <c r="D533" s="4">
        <v>2580</v>
      </c>
      <c r="E533" t="s">
        <v>1857</v>
      </c>
      <c r="F533" t="s">
        <v>16</v>
      </c>
      <c r="G533" t="s">
        <v>50</v>
      </c>
      <c r="H533">
        <v>32</v>
      </c>
      <c r="I533">
        <v>1536</v>
      </c>
      <c r="J533" t="s">
        <v>628</v>
      </c>
      <c r="K533" s="17">
        <v>1.78</v>
      </c>
      <c r="L533" s="3">
        <f t="shared" si="8"/>
        <v>0</v>
      </c>
      <c r="N533" t="s">
        <v>1858</v>
      </c>
      <c r="O533" t="s">
        <v>1849</v>
      </c>
      <c r="P533">
        <v>2</v>
      </c>
    </row>
    <row r="534" spans="1:16" x14ac:dyDescent="0.35">
      <c r="A534" s="5" t="str">
        <f>HYPERLINK("https://tienda.tarracoimportexport.com/index.php?id_product=3014&amp;controller=product&amp;id_lang=4", "TR004473")</f>
        <v>TR004473</v>
      </c>
      <c r="B534" t="s">
        <v>1859</v>
      </c>
      <c r="D534" s="4">
        <v>1176</v>
      </c>
      <c r="E534" t="s">
        <v>1860</v>
      </c>
      <c r="F534" t="s">
        <v>16</v>
      </c>
      <c r="G534" t="s">
        <v>50</v>
      </c>
      <c r="H534">
        <v>32</v>
      </c>
      <c r="I534">
        <v>1536</v>
      </c>
      <c r="J534" t="s">
        <v>628</v>
      </c>
      <c r="K534" s="17">
        <v>1.78</v>
      </c>
      <c r="L534" s="3">
        <f t="shared" si="8"/>
        <v>0</v>
      </c>
      <c r="N534" t="s">
        <v>1861</v>
      </c>
      <c r="O534" t="s">
        <v>1849</v>
      </c>
      <c r="P534">
        <v>2</v>
      </c>
    </row>
    <row r="535" spans="1:16" x14ac:dyDescent="0.35">
      <c r="A535" s="5" t="str">
        <f>HYPERLINK("https://tienda.tarracoimportexport.com/index.php?id_product=3016&amp;controller=product&amp;id_lang=4", "TR004475")</f>
        <v>TR004475</v>
      </c>
      <c r="B535" t="s">
        <v>1862</v>
      </c>
      <c r="D535" s="4">
        <v>636</v>
      </c>
      <c r="E535" t="s">
        <v>1863</v>
      </c>
      <c r="F535" t="s">
        <v>16</v>
      </c>
      <c r="G535" t="s">
        <v>50</v>
      </c>
      <c r="H535">
        <v>32</v>
      </c>
      <c r="I535">
        <v>1536</v>
      </c>
      <c r="J535" t="s">
        <v>628</v>
      </c>
      <c r="K535" s="17">
        <v>1.66</v>
      </c>
      <c r="L535" s="3">
        <f t="shared" si="8"/>
        <v>0</v>
      </c>
      <c r="N535" t="s">
        <v>1864</v>
      </c>
      <c r="O535" t="s">
        <v>1849</v>
      </c>
      <c r="P535">
        <v>2</v>
      </c>
    </row>
    <row r="536" spans="1:16" x14ac:dyDescent="0.35">
      <c r="A536" s="5" t="str">
        <f>HYPERLINK("https://tienda.tarracoimportexport.com/index.php?id_product=9739&amp;controller=product&amp;id_lang=4", "TR010789")</f>
        <v>TR010789</v>
      </c>
      <c r="B536" t="s">
        <v>1865</v>
      </c>
      <c r="D536" s="4">
        <v>1524</v>
      </c>
      <c r="E536" t="s">
        <v>1866</v>
      </c>
      <c r="F536" t="s">
        <v>16</v>
      </c>
      <c r="G536" t="s">
        <v>50</v>
      </c>
      <c r="H536">
        <v>32</v>
      </c>
      <c r="I536">
        <v>1536</v>
      </c>
      <c r="J536" t="s">
        <v>628</v>
      </c>
      <c r="K536" s="17">
        <v>1.78</v>
      </c>
      <c r="L536" s="3">
        <f t="shared" si="8"/>
        <v>0</v>
      </c>
      <c r="N536" t="s">
        <v>1867</v>
      </c>
      <c r="O536" t="s">
        <v>1868</v>
      </c>
      <c r="P536">
        <v>1.9950000000000001</v>
      </c>
    </row>
    <row r="537" spans="1:16" x14ac:dyDescent="0.35">
      <c r="A537" s="5" t="str">
        <f>HYPERLINK("https://tienda.tarracoimportexport.com/index.php?id_product=9737&amp;controller=product&amp;id_lang=4", "TR010787")</f>
        <v>TR010787</v>
      </c>
      <c r="B537" t="s">
        <v>1869</v>
      </c>
      <c r="D537" s="4">
        <v>672</v>
      </c>
      <c r="E537" t="s">
        <v>1870</v>
      </c>
      <c r="F537" t="s">
        <v>16</v>
      </c>
      <c r="G537" t="s">
        <v>50</v>
      </c>
      <c r="H537">
        <v>32</v>
      </c>
      <c r="I537">
        <v>1536</v>
      </c>
      <c r="J537" t="s">
        <v>628</v>
      </c>
      <c r="K537" s="17">
        <v>1.66</v>
      </c>
      <c r="L537" s="3">
        <f t="shared" si="8"/>
        <v>0</v>
      </c>
      <c r="N537" t="s">
        <v>1871</v>
      </c>
      <c r="O537" t="s">
        <v>1849</v>
      </c>
      <c r="P537">
        <v>2.0299999999999998</v>
      </c>
    </row>
    <row r="538" spans="1:16" x14ac:dyDescent="0.35">
      <c r="A538" s="5" t="str">
        <f>HYPERLINK("https://tienda.tarracoimportexport.com/index.php?id_product=3007&amp;controller=product&amp;id_lang=4", "TR004466")</f>
        <v>TR004466</v>
      </c>
      <c r="B538" t="s">
        <v>1872</v>
      </c>
      <c r="D538" s="4">
        <v>1836</v>
      </c>
      <c r="E538" t="s">
        <v>1873</v>
      </c>
      <c r="F538" t="s">
        <v>16</v>
      </c>
      <c r="G538" t="s">
        <v>50</v>
      </c>
      <c r="H538">
        <v>32</v>
      </c>
      <c r="I538">
        <v>1536</v>
      </c>
      <c r="J538" t="s">
        <v>628</v>
      </c>
      <c r="K538" s="17">
        <v>1.78</v>
      </c>
      <c r="L538" s="3">
        <f t="shared" si="8"/>
        <v>0</v>
      </c>
      <c r="N538" t="s">
        <v>1874</v>
      </c>
      <c r="O538" t="s">
        <v>78</v>
      </c>
      <c r="P538">
        <v>2</v>
      </c>
    </row>
    <row r="539" spans="1:16" x14ac:dyDescent="0.35">
      <c r="A539" s="5" t="str">
        <f>HYPERLINK("https://tienda.tarracoimportexport.com/index.php?id_product=629&amp;controller=product&amp;id_lang=4", "TR000871")</f>
        <v>TR000871</v>
      </c>
      <c r="B539" t="s">
        <v>1875</v>
      </c>
      <c r="D539" s="4">
        <v>1476</v>
      </c>
      <c r="E539" t="s">
        <v>1876</v>
      </c>
      <c r="F539" t="s">
        <v>16</v>
      </c>
      <c r="G539" t="s">
        <v>50</v>
      </c>
      <c r="H539">
        <v>32</v>
      </c>
      <c r="I539">
        <v>1536</v>
      </c>
      <c r="J539" t="s">
        <v>628</v>
      </c>
      <c r="K539" s="17">
        <v>1.78</v>
      </c>
      <c r="L539" s="3">
        <f t="shared" si="8"/>
        <v>0</v>
      </c>
      <c r="N539" t="s">
        <v>1877</v>
      </c>
      <c r="O539" t="s">
        <v>1849</v>
      </c>
      <c r="P539">
        <v>2</v>
      </c>
    </row>
    <row r="540" spans="1:16" x14ac:dyDescent="0.35">
      <c r="A540" s="5" t="str">
        <f>HYPERLINK("https://tienda.tarracoimportexport.com/index.php?id_product=2768&amp;controller=product&amp;id_lang=4", "TR004233")</f>
        <v>TR004233</v>
      </c>
      <c r="B540" t="s">
        <v>1878</v>
      </c>
      <c r="D540" s="4">
        <v>1188</v>
      </c>
      <c r="E540" t="s">
        <v>1879</v>
      </c>
      <c r="F540" t="s">
        <v>16</v>
      </c>
      <c r="G540" t="s">
        <v>50</v>
      </c>
      <c r="H540">
        <v>32</v>
      </c>
      <c r="I540">
        <v>1536</v>
      </c>
      <c r="J540" t="s">
        <v>628</v>
      </c>
      <c r="K540" s="17">
        <v>1.78</v>
      </c>
      <c r="L540" s="3">
        <f t="shared" si="8"/>
        <v>0</v>
      </c>
      <c r="N540" t="s">
        <v>1880</v>
      </c>
      <c r="O540" t="s">
        <v>1829</v>
      </c>
      <c r="P540">
        <v>2</v>
      </c>
    </row>
    <row r="541" spans="1:16" x14ac:dyDescent="0.35">
      <c r="A541" s="5" t="str">
        <f>HYPERLINK("https://tienda.tarracoimportexport.com/index.php?id_product=619&amp;controller=product&amp;id_lang=4", "TR000869")</f>
        <v>TR000869</v>
      </c>
      <c r="B541" t="s">
        <v>1881</v>
      </c>
      <c r="D541" s="4">
        <v>936</v>
      </c>
      <c r="E541" t="s">
        <v>1882</v>
      </c>
      <c r="F541" t="s">
        <v>16</v>
      </c>
      <c r="G541" t="s">
        <v>50</v>
      </c>
      <c r="H541">
        <v>32</v>
      </c>
      <c r="I541">
        <v>1536</v>
      </c>
      <c r="J541" t="s">
        <v>628</v>
      </c>
      <c r="K541" s="17">
        <v>1.78</v>
      </c>
      <c r="L541" s="3">
        <f t="shared" si="8"/>
        <v>0</v>
      </c>
      <c r="N541" t="s">
        <v>1883</v>
      </c>
      <c r="O541" t="s">
        <v>1849</v>
      </c>
      <c r="P541">
        <v>2</v>
      </c>
    </row>
    <row r="542" spans="1:16" x14ac:dyDescent="0.35">
      <c r="A542" s="5" t="str">
        <f>HYPERLINK("https://tienda.tarracoimportexport.com/index.php?id_product=2767&amp;controller=product&amp;id_lang=4", "TR004232")</f>
        <v>TR004232</v>
      </c>
      <c r="B542" t="s">
        <v>1884</v>
      </c>
      <c r="D542" s="4">
        <v>1536</v>
      </c>
      <c r="E542" t="s">
        <v>1885</v>
      </c>
      <c r="F542" t="s">
        <v>16</v>
      </c>
      <c r="G542" t="s">
        <v>50</v>
      </c>
      <c r="H542">
        <v>32</v>
      </c>
      <c r="I542">
        <v>1536</v>
      </c>
      <c r="J542" t="s">
        <v>628</v>
      </c>
      <c r="K542" s="17">
        <v>1.78</v>
      </c>
      <c r="L542" s="3">
        <f t="shared" si="8"/>
        <v>0</v>
      </c>
      <c r="N542" t="s">
        <v>1886</v>
      </c>
      <c r="O542" t="s">
        <v>1849</v>
      </c>
      <c r="P542">
        <v>2.19</v>
      </c>
    </row>
    <row r="543" spans="1:16" x14ac:dyDescent="0.35">
      <c r="A543" s="5" t="str">
        <f>HYPERLINK("https://tienda.tarracoimportexport.com/index.php?id_product=5036&amp;controller=product&amp;id_lang=4", "TR006314")</f>
        <v>TR006314</v>
      </c>
      <c r="B543" t="s">
        <v>1887</v>
      </c>
      <c r="D543" s="4">
        <v>228</v>
      </c>
      <c r="E543" t="s">
        <v>1888</v>
      </c>
      <c r="F543" t="s">
        <v>16</v>
      </c>
      <c r="G543" t="s">
        <v>39</v>
      </c>
      <c r="H543">
        <v>57</v>
      </c>
      <c r="I543">
        <v>1368</v>
      </c>
      <c r="J543" t="s">
        <v>81</v>
      </c>
      <c r="K543" s="17">
        <v>2.19</v>
      </c>
      <c r="L543" s="3">
        <f t="shared" si="8"/>
        <v>0</v>
      </c>
      <c r="N543" t="s">
        <v>1889</v>
      </c>
      <c r="O543" t="s">
        <v>1890</v>
      </c>
      <c r="P543">
        <v>1.26</v>
      </c>
    </row>
    <row r="544" spans="1:16" x14ac:dyDescent="0.35">
      <c r="A544" s="5" t="str">
        <f>HYPERLINK("https://tienda.tarracoimportexport.com/index.php?id_product=9470&amp;controller=product&amp;id_lang=4", "TR010538")</f>
        <v>TR010538</v>
      </c>
      <c r="B544" t="s">
        <v>1891</v>
      </c>
      <c r="D544" s="4">
        <v>402</v>
      </c>
      <c r="E544" t="s">
        <v>1892</v>
      </c>
      <c r="F544" t="s">
        <v>16</v>
      </c>
      <c r="G544" t="s">
        <v>39</v>
      </c>
      <c r="H544">
        <v>57</v>
      </c>
      <c r="I544">
        <v>1368</v>
      </c>
      <c r="J544" t="s">
        <v>81</v>
      </c>
      <c r="K544" s="17">
        <v>2.19</v>
      </c>
      <c r="L544" s="3">
        <f t="shared" si="8"/>
        <v>0</v>
      </c>
      <c r="N544" t="s">
        <v>1893</v>
      </c>
      <c r="O544" t="s">
        <v>1894</v>
      </c>
      <c r="P544">
        <v>1.25</v>
      </c>
    </row>
    <row r="545" spans="1:16" x14ac:dyDescent="0.35">
      <c r="A545" s="5" t="str">
        <f>HYPERLINK("https://tienda.tarracoimportexport.com/index.php?id_product=5039&amp;controller=product&amp;id_lang=4", "TR006317")</f>
        <v>TR006317</v>
      </c>
      <c r="B545" t="s">
        <v>1891</v>
      </c>
      <c r="D545" s="4">
        <v>966</v>
      </c>
      <c r="E545" t="s">
        <v>1895</v>
      </c>
      <c r="F545" t="s">
        <v>16</v>
      </c>
      <c r="G545" t="s">
        <v>39</v>
      </c>
      <c r="H545">
        <v>57</v>
      </c>
      <c r="I545">
        <v>1368</v>
      </c>
      <c r="J545" t="s">
        <v>81</v>
      </c>
      <c r="K545" s="17">
        <v>2.19</v>
      </c>
      <c r="L545" s="3">
        <f t="shared" si="8"/>
        <v>0</v>
      </c>
      <c r="N545" t="s">
        <v>1896</v>
      </c>
      <c r="O545" t="s">
        <v>30</v>
      </c>
      <c r="P545">
        <v>1.27</v>
      </c>
    </row>
    <row r="546" spans="1:16" x14ac:dyDescent="0.35">
      <c r="A546" s="5" t="str">
        <f>HYPERLINK("https://tienda.tarracoimportexport.com/index.php?id_product=9035&amp;controller=product&amp;id_lang=4", "TR010119")</f>
        <v>TR010119</v>
      </c>
      <c r="B546" t="s">
        <v>1897</v>
      </c>
      <c r="D546" s="4">
        <v>504</v>
      </c>
      <c r="E546" t="s">
        <v>1898</v>
      </c>
      <c r="F546" t="s">
        <v>16</v>
      </c>
      <c r="G546" t="s">
        <v>39</v>
      </c>
      <c r="H546">
        <v>57</v>
      </c>
      <c r="I546">
        <v>1368</v>
      </c>
      <c r="J546" t="s">
        <v>81</v>
      </c>
      <c r="K546" s="17">
        <v>2.19</v>
      </c>
      <c r="L546" s="3">
        <f t="shared" si="8"/>
        <v>0</v>
      </c>
      <c r="N546" t="s">
        <v>1899</v>
      </c>
      <c r="O546" t="s">
        <v>1900</v>
      </c>
      <c r="P546">
        <v>1.24</v>
      </c>
    </row>
    <row r="547" spans="1:16" x14ac:dyDescent="0.35">
      <c r="A547" s="5" t="str">
        <f>HYPERLINK("https://tienda.tarracoimportexport.com/index.php?id_product=5040&amp;controller=product&amp;id_lang=4", "TR006318")</f>
        <v>TR006318</v>
      </c>
      <c r="B547" t="s">
        <v>1901</v>
      </c>
      <c r="D547" s="4">
        <v>1524</v>
      </c>
      <c r="E547" t="s">
        <v>1902</v>
      </c>
      <c r="F547" t="s">
        <v>16</v>
      </c>
      <c r="G547" t="s">
        <v>39</v>
      </c>
      <c r="H547">
        <v>57</v>
      </c>
      <c r="I547">
        <v>1368</v>
      </c>
      <c r="J547" t="s">
        <v>81</v>
      </c>
      <c r="K547" s="17">
        <v>2.19</v>
      </c>
      <c r="L547" s="3">
        <f t="shared" si="8"/>
        <v>0</v>
      </c>
      <c r="N547" t="s">
        <v>1903</v>
      </c>
      <c r="O547" t="s">
        <v>1890</v>
      </c>
      <c r="P547">
        <v>1.25</v>
      </c>
    </row>
    <row r="548" spans="1:16" x14ac:dyDescent="0.35">
      <c r="A548" s="5" t="str">
        <f>HYPERLINK("https://tienda.tarracoimportexport.com/index.php?id_product=5047&amp;controller=product&amp;id_lang=4", "TR006325")</f>
        <v>TR006325</v>
      </c>
      <c r="B548" t="s">
        <v>1904</v>
      </c>
      <c r="D548" s="4">
        <v>270</v>
      </c>
      <c r="E548" t="s">
        <v>1905</v>
      </c>
      <c r="F548" t="s">
        <v>16</v>
      </c>
      <c r="G548" t="s">
        <v>39</v>
      </c>
      <c r="H548">
        <v>57</v>
      </c>
      <c r="I548">
        <v>1368</v>
      </c>
      <c r="J548" t="s">
        <v>81</v>
      </c>
      <c r="K548" s="17">
        <v>2.19</v>
      </c>
      <c r="L548" s="3">
        <f t="shared" si="8"/>
        <v>0</v>
      </c>
      <c r="N548" t="s">
        <v>1906</v>
      </c>
      <c r="O548" t="s">
        <v>1890</v>
      </c>
      <c r="P548">
        <v>1.2</v>
      </c>
    </row>
    <row r="549" spans="1:16" x14ac:dyDescent="0.35">
      <c r="A549" s="5" t="str">
        <f>HYPERLINK("https://tienda.tarracoimportexport.com/index.php?id_product=9770&amp;controller=product&amp;id_lang=4", "TR010818")</f>
        <v>TR010818</v>
      </c>
      <c r="B549" t="s">
        <v>1907</v>
      </c>
      <c r="D549" s="4">
        <v>2196</v>
      </c>
      <c r="E549" t="s">
        <v>1908</v>
      </c>
      <c r="F549" t="s">
        <v>16</v>
      </c>
      <c r="G549" t="s">
        <v>50</v>
      </c>
      <c r="H549">
        <v>23</v>
      </c>
      <c r="I549">
        <v>2208</v>
      </c>
      <c r="J549" t="s">
        <v>1909</v>
      </c>
      <c r="K549" s="17">
        <v>3.25</v>
      </c>
      <c r="L549" s="3">
        <f t="shared" si="8"/>
        <v>0</v>
      </c>
      <c r="N549" t="s">
        <v>1910</v>
      </c>
      <c r="O549" t="s">
        <v>30</v>
      </c>
      <c r="P549">
        <v>3.43</v>
      </c>
    </row>
    <row r="550" spans="1:16" x14ac:dyDescent="0.35">
      <c r="A550" s="5" t="str">
        <f>HYPERLINK("https://tienda.tarracoimportexport.com/index.php?id_product=6567&amp;controller=product&amp;id_lang=4", "TR007690")</f>
        <v>TR007690</v>
      </c>
      <c r="B550" t="s">
        <v>1911</v>
      </c>
      <c r="D550" s="4">
        <v>1836</v>
      </c>
      <c r="E550" t="s">
        <v>1912</v>
      </c>
      <c r="F550" t="s">
        <v>16</v>
      </c>
      <c r="G550" t="s">
        <v>50</v>
      </c>
      <c r="H550">
        <v>23</v>
      </c>
      <c r="I550">
        <v>2208</v>
      </c>
      <c r="J550" t="s">
        <v>1909</v>
      </c>
      <c r="K550" s="17">
        <v>3.25</v>
      </c>
      <c r="L550" s="3">
        <f t="shared" si="8"/>
        <v>0</v>
      </c>
      <c r="N550" t="s">
        <v>1913</v>
      </c>
      <c r="O550" t="s">
        <v>30</v>
      </c>
      <c r="P550">
        <v>3.43</v>
      </c>
    </row>
    <row r="551" spans="1:16" x14ac:dyDescent="0.35">
      <c r="A551" s="5" t="str">
        <f>HYPERLINK("https://tienda.tarracoimportexport.com/index.php?id_product=10877&amp;controller=product&amp;id_lang=4", "TR011822")</f>
        <v>TR011822</v>
      </c>
      <c r="B551" t="s">
        <v>1914</v>
      </c>
      <c r="D551" s="4">
        <v>1292</v>
      </c>
      <c r="E551" t="s">
        <v>1915</v>
      </c>
      <c r="F551" t="s">
        <v>16</v>
      </c>
      <c r="G551" t="s">
        <v>242</v>
      </c>
      <c r="H551">
        <v>8</v>
      </c>
      <c r="I551">
        <v>192</v>
      </c>
      <c r="J551" t="s">
        <v>202</v>
      </c>
      <c r="K551" s="17">
        <v>6.86</v>
      </c>
      <c r="L551" s="3">
        <f t="shared" si="8"/>
        <v>0</v>
      </c>
      <c r="N551" t="s">
        <v>1916</v>
      </c>
      <c r="O551" t="s">
        <v>30</v>
      </c>
      <c r="P551">
        <v>4.88</v>
      </c>
    </row>
    <row r="552" spans="1:16" x14ac:dyDescent="0.35">
      <c r="A552" s="5" t="str">
        <f>HYPERLINK("https://tienda.tarracoimportexport.com/index.php?id_product=10884&amp;controller=product&amp;id_lang=4", "TR011830")</f>
        <v>TR011830</v>
      </c>
      <c r="B552" t="s">
        <v>1917</v>
      </c>
      <c r="D552" s="4">
        <v>36</v>
      </c>
      <c r="E552" t="s">
        <v>1918</v>
      </c>
      <c r="F552" t="s">
        <v>16</v>
      </c>
      <c r="G552" t="s">
        <v>39</v>
      </c>
      <c r="H552">
        <v>7</v>
      </c>
      <c r="I552">
        <v>210</v>
      </c>
      <c r="J552" t="s">
        <v>28</v>
      </c>
      <c r="K552" s="17">
        <v>10.55</v>
      </c>
      <c r="L552" s="3">
        <f t="shared" si="8"/>
        <v>0</v>
      </c>
      <c r="N552" t="s">
        <v>1919</v>
      </c>
      <c r="O552" t="s">
        <v>30</v>
      </c>
      <c r="P552">
        <v>2.4940000000000002</v>
      </c>
    </row>
    <row r="553" spans="1:16" x14ac:dyDescent="0.35">
      <c r="A553" s="5" t="str">
        <f>HYPERLINK("https://tienda.tarracoimportexport.com/index.php?id_product=10906&amp;controller=product&amp;id_lang=4", "TR011852")</f>
        <v>TR011852</v>
      </c>
      <c r="B553" t="s">
        <v>1920</v>
      </c>
      <c r="D553" s="4">
        <v>426</v>
      </c>
      <c r="E553" t="s">
        <v>1921</v>
      </c>
      <c r="F553" t="s">
        <v>16</v>
      </c>
      <c r="G553" t="s">
        <v>39</v>
      </c>
      <c r="H553">
        <v>7</v>
      </c>
      <c r="I553">
        <v>210</v>
      </c>
      <c r="J553" t="s">
        <v>28</v>
      </c>
      <c r="K553" s="17">
        <v>12.66</v>
      </c>
      <c r="L553" s="3">
        <f t="shared" si="8"/>
        <v>0</v>
      </c>
      <c r="N553" t="s">
        <v>1922</v>
      </c>
      <c r="O553" t="s">
        <v>30</v>
      </c>
      <c r="P553">
        <v>2.3639999999999999</v>
      </c>
    </row>
    <row r="554" spans="1:16" x14ac:dyDescent="0.35">
      <c r="A554" s="5" t="str">
        <f>HYPERLINK("https://tienda.tarracoimportexport.com/index.php?id_product=10885&amp;controller=product&amp;id_lang=4", "TR011831")</f>
        <v>TR011831</v>
      </c>
      <c r="B554" t="s">
        <v>1923</v>
      </c>
      <c r="D554" s="4">
        <v>36</v>
      </c>
      <c r="E554" t="s">
        <v>1924</v>
      </c>
      <c r="F554" t="s">
        <v>16</v>
      </c>
      <c r="G554" t="s">
        <v>39</v>
      </c>
      <c r="H554">
        <v>7</v>
      </c>
      <c r="I554">
        <v>210</v>
      </c>
      <c r="J554" t="s">
        <v>28</v>
      </c>
      <c r="K554" s="17">
        <v>10.55</v>
      </c>
      <c r="L554" s="3">
        <f t="shared" si="8"/>
        <v>0</v>
      </c>
      <c r="N554" t="s">
        <v>1925</v>
      </c>
      <c r="O554" t="s">
        <v>30</v>
      </c>
      <c r="P554">
        <v>2.4950000000000001</v>
      </c>
    </row>
    <row r="555" spans="1:16" x14ac:dyDescent="0.35">
      <c r="A555" s="5" t="str">
        <f>HYPERLINK("https://tienda.tarracoimportexport.com/index.php?id_product=10905&amp;controller=product&amp;id_lang=4", "TR011851")</f>
        <v>TR011851</v>
      </c>
      <c r="B555" t="s">
        <v>1926</v>
      </c>
      <c r="D555" s="4">
        <v>1080</v>
      </c>
      <c r="E555" t="s">
        <v>1927</v>
      </c>
      <c r="F555" t="s">
        <v>16</v>
      </c>
      <c r="G555" t="s">
        <v>39</v>
      </c>
      <c r="H555">
        <v>7</v>
      </c>
      <c r="I555">
        <v>210</v>
      </c>
      <c r="J555" t="s">
        <v>28</v>
      </c>
      <c r="K555" s="17">
        <v>15.82</v>
      </c>
      <c r="L555" s="3">
        <f t="shared" si="8"/>
        <v>0</v>
      </c>
      <c r="N555" t="s">
        <v>1928</v>
      </c>
      <c r="O555" t="s">
        <v>30</v>
      </c>
      <c r="P555">
        <v>2.83</v>
      </c>
    </row>
    <row r="556" spans="1:16" x14ac:dyDescent="0.35">
      <c r="A556" s="5" t="str">
        <f>HYPERLINK("https://tienda.tarracoimportexport.com/index.php?id_product=10916&amp;controller=product&amp;id_lang=4", "TR011862")</f>
        <v>TR011862</v>
      </c>
      <c r="B556" t="s">
        <v>1929</v>
      </c>
      <c r="D556" s="4">
        <v>44</v>
      </c>
      <c r="E556" t="s">
        <v>1930</v>
      </c>
      <c r="F556" t="s">
        <v>16</v>
      </c>
      <c r="G556" t="s">
        <v>242</v>
      </c>
      <c r="H556">
        <v>15</v>
      </c>
      <c r="I556">
        <v>180</v>
      </c>
      <c r="J556" t="s">
        <v>301</v>
      </c>
      <c r="K556" s="17">
        <v>11.6</v>
      </c>
      <c r="L556" s="3">
        <f t="shared" si="8"/>
        <v>0</v>
      </c>
      <c r="N556" t="s">
        <v>1931</v>
      </c>
      <c r="O556" t="s">
        <v>30</v>
      </c>
      <c r="P556">
        <v>2.4449999999999998</v>
      </c>
    </row>
    <row r="557" spans="1:16" x14ac:dyDescent="0.35">
      <c r="A557" s="5" t="str">
        <f>HYPERLINK("https://tienda.tarracoimportexport.com/index.php?id_product=10887&amp;controller=product&amp;id_lang=4", "TR011833")</f>
        <v>TR011833</v>
      </c>
      <c r="B557" t="s">
        <v>1932</v>
      </c>
      <c r="D557" s="4">
        <v>294</v>
      </c>
      <c r="E557" t="s">
        <v>1933</v>
      </c>
      <c r="F557" t="s">
        <v>1934</v>
      </c>
      <c r="G557" t="s">
        <v>39</v>
      </c>
      <c r="H557">
        <v>7</v>
      </c>
      <c r="I557">
        <v>210</v>
      </c>
      <c r="J557" t="s">
        <v>28</v>
      </c>
      <c r="K557" s="17">
        <v>8.3650000000000002</v>
      </c>
      <c r="L557" s="3">
        <f t="shared" si="8"/>
        <v>0</v>
      </c>
      <c r="N557" t="s">
        <v>1935</v>
      </c>
      <c r="O557" t="s">
        <v>30</v>
      </c>
      <c r="P557">
        <v>0</v>
      </c>
    </row>
    <row r="558" spans="1:16" x14ac:dyDescent="0.35">
      <c r="A558" s="5" t="str">
        <f>HYPERLINK("https://tienda.tarracoimportexport.com/index.php?id_product=10534&amp;controller=product&amp;id_lang=4", "TR011510")</f>
        <v>TR011510</v>
      </c>
      <c r="B558" t="s">
        <v>1936</v>
      </c>
      <c r="D558" s="4">
        <v>7008</v>
      </c>
      <c r="E558" t="s">
        <v>1937</v>
      </c>
      <c r="F558" t="s">
        <v>16</v>
      </c>
      <c r="G558" t="s">
        <v>50</v>
      </c>
      <c r="H558">
        <v>25</v>
      </c>
      <c r="I558">
        <v>1500</v>
      </c>
      <c r="J558" t="s">
        <v>899</v>
      </c>
      <c r="K558" s="17">
        <v>1.38</v>
      </c>
      <c r="L558" s="3">
        <f t="shared" si="8"/>
        <v>0</v>
      </c>
      <c r="N558" t="s">
        <v>1938</v>
      </c>
      <c r="O558" t="s">
        <v>42</v>
      </c>
      <c r="P558">
        <v>2.9849999999999999</v>
      </c>
    </row>
    <row r="559" spans="1:16" x14ac:dyDescent="0.35">
      <c r="A559" s="5" t="str">
        <f>HYPERLINK("https://tienda.tarracoimportexport.com/index.php?id_product=10399&amp;controller=product&amp;id_lang=4", "TR011390")</f>
        <v>TR011390</v>
      </c>
      <c r="B559" t="s">
        <v>1939</v>
      </c>
      <c r="D559" s="4">
        <v>4068</v>
      </c>
      <c r="E559" t="s">
        <v>1940</v>
      </c>
      <c r="F559" t="s">
        <v>16</v>
      </c>
      <c r="G559" t="s">
        <v>50</v>
      </c>
      <c r="H559">
        <v>25</v>
      </c>
      <c r="I559">
        <v>1500</v>
      </c>
      <c r="J559" t="s">
        <v>899</v>
      </c>
      <c r="K559" s="17">
        <v>1.38</v>
      </c>
      <c r="L559" s="3">
        <f t="shared" si="8"/>
        <v>0</v>
      </c>
      <c r="N559" t="s">
        <v>1941</v>
      </c>
      <c r="O559" t="s">
        <v>42</v>
      </c>
      <c r="P559">
        <v>2.9449999999999998</v>
      </c>
    </row>
    <row r="560" spans="1:16" x14ac:dyDescent="0.35">
      <c r="A560" s="5" t="str">
        <f>HYPERLINK("https://tienda.tarracoimportexport.com/index.php?id_product=147&amp;controller=product&amp;id_lang=4", "TR000890")</f>
        <v>TR000890</v>
      </c>
      <c r="B560" t="s">
        <v>1942</v>
      </c>
      <c r="D560" s="4">
        <v>732</v>
      </c>
      <c r="E560" t="s">
        <v>1943</v>
      </c>
      <c r="F560" t="s">
        <v>16</v>
      </c>
      <c r="G560" t="s">
        <v>50</v>
      </c>
      <c r="H560">
        <v>23</v>
      </c>
      <c r="I560">
        <v>1380</v>
      </c>
      <c r="J560" t="s">
        <v>1944</v>
      </c>
      <c r="K560" s="17">
        <v>1.8</v>
      </c>
      <c r="L560" s="3">
        <f t="shared" si="8"/>
        <v>0</v>
      </c>
      <c r="N560" t="s">
        <v>1943</v>
      </c>
      <c r="O560" t="s">
        <v>42</v>
      </c>
      <c r="P560">
        <v>3.3</v>
      </c>
    </row>
    <row r="561" spans="1:16" x14ac:dyDescent="0.35">
      <c r="A561" s="5" t="str">
        <f>HYPERLINK("https://tienda.tarracoimportexport.com/index.php?id_product=10543&amp;controller=product&amp;id_lang=4", "TR011519")</f>
        <v>TR011519</v>
      </c>
      <c r="B561" t="s">
        <v>1945</v>
      </c>
      <c r="D561" s="4">
        <v>104376</v>
      </c>
      <c r="E561" t="s">
        <v>1946</v>
      </c>
      <c r="F561" t="s">
        <v>16</v>
      </c>
      <c r="G561" t="s">
        <v>50</v>
      </c>
      <c r="H561">
        <v>25</v>
      </c>
      <c r="I561">
        <v>1500</v>
      </c>
      <c r="J561" t="s">
        <v>899</v>
      </c>
      <c r="K561" s="17">
        <v>0.85</v>
      </c>
      <c r="L561" s="3">
        <f t="shared" si="8"/>
        <v>0</v>
      </c>
      <c r="N561" t="s">
        <v>1947</v>
      </c>
      <c r="O561" t="s">
        <v>1948</v>
      </c>
      <c r="P561">
        <v>3.4249999999999998</v>
      </c>
    </row>
    <row r="562" spans="1:16" x14ac:dyDescent="0.35">
      <c r="A562" s="5" t="str">
        <f>HYPERLINK("https://tienda.tarracoimportexport.com/index.php?id_product=10004&amp;controller=product&amp;id_lang=4", "TR011046")</f>
        <v>TR011046</v>
      </c>
      <c r="B562" t="s">
        <v>1949</v>
      </c>
      <c r="D562" s="4">
        <v>16320</v>
      </c>
      <c r="E562" t="s">
        <v>1950</v>
      </c>
      <c r="F562" t="s">
        <v>16</v>
      </c>
      <c r="G562" t="s">
        <v>50</v>
      </c>
      <c r="H562">
        <v>14</v>
      </c>
      <c r="I562">
        <v>672</v>
      </c>
      <c r="J562" t="s">
        <v>539</v>
      </c>
      <c r="K562" s="17">
        <v>1.78</v>
      </c>
      <c r="L562" s="3">
        <f t="shared" si="8"/>
        <v>0</v>
      </c>
      <c r="N562" t="s">
        <v>1951</v>
      </c>
      <c r="O562" t="s">
        <v>1952</v>
      </c>
      <c r="P562">
        <v>8.75</v>
      </c>
    </row>
    <row r="563" spans="1:16" x14ac:dyDescent="0.35">
      <c r="A563" s="5" t="str">
        <f>HYPERLINK("https://tienda.tarracoimportexport.com/index.php?id_product=10805&amp;controller=product&amp;id_lang=4", "TR011752")</f>
        <v>TR011752</v>
      </c>
      <c r="B563" t="s">
        <v>1953</v>
      </c>
      <c r="D563" s="4">
        <v>2256</v>
      </c>
      <c r="E563" t="s">
        <v>1954</v>
      </c>
      <c r="F563" t="s">
        <v>16</v>
      </c>
      <c r="G563" t="s">
        <v>106</v>
      </c>
      <c r="H563">
        <v>12</v>
      </c>
      <c r="I563">
        <v>1440</v>
      </c>
      <c r="J563" t="s">
        <v>516</v>
      </c>
      <c r="K563" s="17">
        <v>0.85</v>
      </c>
      <c r="L563" s="3">
        <f t="shared" ref="L563:L627" si="9">K563*C563</f>
        <v>0</v>
      </c>
      <c r="N563" t="s">
        <v>1955</v>
      </c>
      <c r="O563" t="s">
        <v>1956</v>
      </c>
      <c r="P563">
        <v>6.8</v>
      </c>
    </row>
    <row r="564" spans="1:16" x14ac:dyDescent="0.35">
      <c r="A564" s="5" t="str">
        <f>HYPERLINK("https://tienda.tarracoimportexport.com/index.php?id_product=10544&amp;controller=product&amp;id_lang=4", "TR011520")</f>
        <v>TR011520</v>
      </c>
      <c r="B564" t="s">
        <v>1957</v>
      </c>
      <c r="D564" s="4">
        <v>158880</v>
      </c>
      <c r="E564" t="s">
        <v>1958</v>
      </c>
      <c r="F564" t="s">
        <v>16</v>
      </c>
      <c r="G564" t="s">
        <v>50</v>
      </c>
      <c r="H564">
        <v>25</v>
      </c>
      <c r="I564">
        <v>1500</v>
      </c>
      <c r="J564" t="s">
        <v>899</v>
      </c>
      <c r="K564" s="17">
        <v>0.85</v>
      </c>
      <c r="L564" s="3">
        <f t="shared" si="9"/>
        <v>0</v>
      </c>
      <c r="N564" t="s">
        <v>1959</v>
      </c>
      <c r="O564" t="s">
        <v>1948</v>
      </c>
      <c r="P564">
        <v>3.42</v>
      </c>
    </row>
    <row r="565" spans="1:16" x14ac:dyDescent="0.35">
      <c r="A565" s="5" t="str">
        <f>HYPERLINK("https://tienda.tarracoimportexport.com/index.php?id_product=10774&amp;controller=product&amp;id_lang=4", "TR011753")</f>
        <v>TR011753</v>
      </c>
      <c r="B565" t="s">
        <v>1960</v>
      </c>
      <c r="D565" s="4">
        <v>33288</v>
      </c>
      <c r="E565" t="s">
        <v>1961</v>
      </c>
      <c r="F565" t="s">
        <v>16</v>
      </c>
      <c r="G565" t="s">
        <v>106</v>
      </c>
      <c r="H565">
        <v>12</v>
      </c>
      <c r="I565">
        <v>1440</v>
      </c>
      <c r="J565" t="s">
        <v>516</v>
      </c>
      <c r="K565" s="17">
        <v>0.85</v>
      </c>
      <c r="L565" s="3">
        <f t="shared" si="9"/>
        <v>0</v>
      </c>
      <c r="N565" t="s">
        <v>1962</v>
      </c>
      <c r="O565" t="s">
        <v>1956</v>
      </c>
      <c r="P565">
        <v>6.8</v>
      </c>
    </row>
    <row r="566" spans="1:16" x14ac:dyDescent="0.35">
      <c r="A566" s="27" t="str">
        <f>HYPERLINK("https://tienda.tarracoimportexport.com/index.php?id_product=10997&amp;controller=product&amp;id_lang=4", "TR011937")</f>
        <v>TR011937</v>
      </c>
      <c r="B566" t="s">
        <v>3163</v>
      </c>
      <c r="D566" s="4">
        <v>3720</v>
      </c>
      <c r="E566" t="s">
        <v>3164</v>
      </c>
      <c r="F566" t="s">
        <v>16</v>
      </c>
      <c r="G566" t="s">
        <v>106</v>
      </c>
      <c r="H566">
        <v>12</v>
      </c>
      <c r="I566">
        <v>1440</v>
      </c>
      <c r="J566" t="s">
        <v>516</v>
      </c>
      <c r="K566" s="17">
        <v>0.85</v>
      </c>
      <c r="L566" s="3">
        <f>K566*C566</f>
        <v>0</v>
      </c>
      <c r="N566" t="s">
        <v>3165</v>
      </c>
      <c r="O566" t="s">
        <v>3166</v>
      </c>
      <c r="P566">
        <v>6.83</v>
      </c>
    </row>
    <row r="567" spans="1:16" x14ac:dyDescent="0.35">
      <c r="A567" s="5" t="str">
        <f>HYPERLINK("https://tienda.tarracoimportexport.com/index.php?id_product=10462&amp;controller=product&amp;id_lang=4", "TR011446")</f>
        <v>TR011446</v>
      </c>
      <c r="B567" t="s">
        <v>1963</v>
      </c>
      <c r="D567" s="4">
        <v>11892</v>
      </c>
      <c r="E567" t="s">
        <v>1964</v>
      </c>
      <c r="F567" t="s">
        <v>16</v>
      </c>
      <c r="G567" t="s">
        <v>50</v>
      </c>
      <c r="H567">
        <v>14</v>
      </c>
      <c r="I567">
        <v>672</v>
      </c>
      <c r="J567" t="s">
        <v>539</v>
      </c>
      <c r="K567" s="17">
        <v>1.78</v>
      </c>
      <c r="L567" s="3">
        <f t="shared" si="9"/>
        <v>0</v>
      </c>
      <c r="N567" t="s">
        <v>1965</v>
      </c>
      <c r="O567" t="s">
        <v>1966</v>
      </c>
      <c r="P567">
        <v>8.7550000000000008</v>
      </c>
    </row>
    <row r="568" spans="1:16" x14ac:dyDescent="0.35">
      <c r="A568" s="5" t="str">
        <f>HYPERLINK("https://tienda.tarracoimportexport.com/index.php?id_product=10003&amp;controller=product&amp;id_lang=4", "TR011045")</f>
        <v>TR011045</v>
      </c>
      <c r="B568" t="s">
        <v>1967</v>
      </c>
      <c r="D568" s="4">
        <v>15960</v>
      </c>
      <c r="E568" t="s">
        <v>1968</v>
      </c>
      <c r="F568" t="s">
        <v>16</v>
      </c>
      <c r="G568" t="s">
        <v>50</v>
      </c>
      <c r="H568">
        <v>14</v>
      </c>
      <c r="I568">
        <v>672</v>
      </c>
      <c r="J568" t="s">
        <v>539</v>
      </c>
      <c r="K568" s="17">
        <v>1.78</v>
      </c>
      <c r="L568" s="3">
        <f t="shared" si="9"/>
        <v>0</v>
      </c>
      <c r="N568" t="s">
        <v>1969</v>
      </c>
      <c r="O568" t="s">
        <v>1966</v>
      </c>
      <c r="P568">
        <v>8.7249999999999996</v>
      </c>
    </row>
    <row r="569" spans="1:16" x14ac:dyDescent="0.35">
      <c r="A569" s="5" t="str">
        <f>HYPERLINK("https://tienda.tarracoimportexport.com/index.php?id_product=10400&amp;controller=product&amp;id_lang=4", "TR011391")</f>
        <v>TR011391</v>
      </c>
      <c r="B569" t="s">
        <v>1970</v>
      </c>
      <c r="D569" s="4">
        <v>14688</v>
      </c>
      <c r="E569" t="s">
        <v>1971</v>
      </c>
      <c r="F569" t="s">
        <v>16</v>
      </c>
      <c r="G569" t="s">
        <v>50</v>
      </c>
      <c r="H569">
        <v>14</v>
      </c>
      <c r="I569">
        <v>672</v>
      </c>
      <c r="J569" t="s">
        <v>539</v>
      </c>
      <c r="K569" s="17">
        <v>1.78</v>
      </c>
      <c r="L569" s="3">
        <f t="shared" si="9"/>
        <v>0</v>
      </c>
      <c r="N569" t="s">
        <v>1972</v>
      </c>
      <c r="O569" t="s">
        <v>1973</v>
      </c>
      <c r="P569">
        <v>8.7550000000000008</v>
      </c>
    </row>
    <row r="570" spans="1:16" x14ac:dyDescent="0.35">
      <c r="A570" s="5" t="str">
        <f>HYPERLINK("https://tienda.tarracoimportexport.com/index.php?id_product=6228&amp;controller=product&amp;id_lang=4", "TR007362")</f>
        <v>TR007362</v>
      </c>
      <c r="B570" t="s">
        <v>1974</v>
      </c>
      <c r="D570" s="4">
        <v>4668</v>
      </c>
      <c r="E570" t="s">
        <v>1975</v>
      </c>
      <c r="F570" t="s">
        <v>16</v>
      </c>
      <c r="G570" t="s">
        <v>50</v>
      </c>
      <c r="H570">
        <v>20</v>
      </c>
      <c r="I570">
        <v>1200</v>
      </c>
      <c r="J570" t="s">
        <v>996</v>
      </c>
      <c r="K570" s="17">
        <v>3.8</v>
      </c>
      <c r="L570" s="3">
        <f t="shared" si="9"/>
        <v>0</v>
      </c>
      <c r="N570" t="s">
        <v>1976</v>
      </c>
      <c r="O570" t="s">
        <v>30</v>
      </c>
      <c r="P570">
        <v>4.2</v>
      </c>
    </row>
    <row r="571" spans="1:16" x14ac:dyDescent="0.35">
      <c r="A571" s="5" t="str">
        <f>HYPERLINK("https://tienda.tarracoimportexport.com/index.php?id_product=9124&amp;controller=product&amp;id_lang=4", "TR010208")</f>
        <v>TR010208</v>
      </c>
      <c r="B571" t="s">
        <v>1977</v>
      </c>
      <c r="D571" s="4">
        <v>2640</v>
      </c>
      <c r="E571" t="s">
        <v>1978</v>
      </c>
      <c r="F571" t="s">
        <v>16</v>
      </c>
      <c r="G571" t="s">
        <v>50</v>
      </c>
      <c r="H571">
        <v>28</v>
      </c>
      <c r="I571">
        <v>1680</v>
      </c>
      <c r="J571" t="s">
        <v>379</v>
      </c>
      <c r="K571" s="17">
        <v>5.7</v>
      </c>
      <c r="L571" s="3">
        <f t="shared" si="9"/>
        <v>0</v>
      </c>
      <c r="N571" t="s">
        <v>1979</v>
      </c>
      <c r="O571" t="s">
        <v>30</v>
      </c>
      <c r="P571">
        <v>2.895</v>
      </c>
    </row>
    <row r="572" spans="1:16" x14ac:dyDescent="0.35">
      <c r="A572" s="5" t="str">
        <f>HYPERLINK("https://tienda.tarracoimportexport.com/index.php?id_product=8506&amp;controller=product&amp;id_lang=4", "TR009646")</f>
        <v>TR009646</v>
      </c>
      <c r="B572" t="s">
        <v>1980</v>
      </c>
      <c r="D572" s="4">
        <v>1884</v>
      </c>
      <c r="E572" t="s">
        <v>1981</v>
      </c>
      <c r="F572" t="s">
        <v>16</v>
      </c>
      <c r="G572" t="s">
        <v>50</v>
      </c>
      <c r="H572">
        <v>22</v>
      </c>
      <c r="I572">
        <v>1584</v>
      </c>
      <c r="J572" t="s">
        <v>1982</v>
      </c>
      <c r="K572" s="17">
        <v>8.0500000000000007</v>
      </c>
      <c r="L572" s="3">
        <f t="shared" si="9"/>
        <v>0</v>
      </c>
      <c r="N572" t="s">
        <v>1983</v>
      </c>
      <c r="O572" t="s">
        <v>952</v>
      </c>
      <c r="P572">
        <v>2.84</v>
      </c>
    </row>
    <row r="573" spans="1:16" x14ac:dyDescent="0.35">
      <c r="A573" s="5" t="str">
        <f>HYPERLINK("https://tienda.tarracoimportexport.com/index.php?id_product=8505&amp;controller=product&amp;id_lang=4", "TR009645")</f>
        <v>TR009645</v>
      </c>
      <c r="B573" t="s">
        <v>1984</v>
      </c>
      <c r="D573" s="4">
        <v>504</v>
      </c>
      <c r="E573" t="s">
        <v>1985</v>
      </c>
      <c r="F573" t="s">
        <v>16</v>
      </c>
      <c r="G573" t="s">
        <v>50</v>
      </c>
      <c r="H573">
        <v>16</v>
      </c>
      <c r="I573">
        <v>960</v>
      </c>
      <c r="J573" t="s">
        <v>140</v>
      </c>
      <c r="K573" s="17">
        <v>8.77</v>
      </c>
      <c r="L573" s="3">
        <f t="shared" si="9"/>
        <v>0</v>
      </c>
      <c r="N573" t="s">
        <v>1986</v>
      </c>
      <c r="O573" t="s">
        <v>952</v>
      </c>
      <c r="P573">
        <v>4.085</v>
      </c>
    </row>
    <row r="574" spans="1:16" x14ac:dyDescent="0.35">
      <c r="A574" s="5" t="str">
        <f>HYPERLINK("https://tienda.tarracoimportexport.com/index.php?id_product=10875&amp;controller=product&amp;id_lang=4", "TR011821")</f>
        <v>TR011821</v>
      </c>
      <c r="B574" t="s">
        <v>1987</v>
      </c>
      <c r="D574" s="4">
        <v>2412</v>
      </c>
      <c r="E574" t="s">
        <v>1988</v>
      </c>
      <c r="F574" t="s">
        <v>16</v>
      </c>
      <c r="G574" t="s">
        <v>242</v>
      </c>
      <c r="H574">
        <v>8</v>
      </c>
      <c r="I574">
        <v>192</v>
      </c>
      <c r="J574" t="s">
        <v>202</v>
      </c>
      <c r="K574" s="17">
        <v>5.8</v>
      </c>
      <c r="L574" s="3">
        <f t="shared" si="9"/>
        <v>0</v>
      </c>
      <c r="N574" t="s">
        <v>1989</v>
      </c>
      <c r="O574" t="s">
        <v>30</v>
      </c>
      <c r="P574">
        <v>3.4</v>
      </c>
    </row>
    <row r="575" spans="1:16" x14ac:dyDescent="0.35">
      <c r="A575" s="5" t="str">
        <f>HYPERLINK("https://tienda.tarracoimportexport.com/index.php?id_product=10878&amp;controller=product&amp;id_lang=4", "TR011824")</f>
        <v>TR011824</v>
      </c>
      <c r="B575" t="s">
        <v>1990</v>
      </c>
      <c r="D575" s="4">
        <v>378</v>
      </c>
      <c r="E575" t="s">
        <v>1991</v>
      </c>
      <c r="F575" t="s">
        <v>16</v>
      </c>
      <c r="G575" t="s">
        <v>39</v>
      </c>
      <c r="H575">
        <v>4</v>
      </c>
      <c r="I575">
        <v>120</v>
      </c>
      <c r="J575" t="s">
        <v>17</v>
      </c>
      <c r="K575" s="17">
        <v>6.86</v>
      </c>
      <c r="L575" s="3">
        <f t="shared" si="9"/>
        <v>0</v>
      </c>
      <c r="N575" t="s">
        <v>1992</v>
      </c>
      <c r="O575" t="s">
        <v>30</v>
      </c>
      <c r="P575">
        <v>4.13</v>
      </c>
    </row>
    <row r="576" spans="1:16" x14ac:dyDescent="0.35">
      <c r="A576" s="5" t="str">
        <f>HYPERLINK("https://tienda.tarracoimportexport.com/index.php?id_product=10732&amp;controller=product&amp;id_lang=4", "TR011696")</f>
        <v>TR011696</v>
      </c>
      <c r="B576" t="s">
        <v>1993</v>
      </c>
      <c r="D576" s="4">
        <v>120</v>
      </c>
      <c r="E576" t="s">
        <v>1994</v>
      </c>
      <c r="F576" t="s">
        <v>1995</v>
      </c>
      <c r="G576" t="s">
        <v>39</v>
      </c>
      <c r="H576">
        <v>40</v>
      </c>
      <c r="I576">
        <v>960</v>
      </c>
      <c r="J576" t="s">
        <v>40</v>
      </c>
      <c r="K576" s="17">
        <v>1.43</v>
      </c>
      <c r="L576" s="3">
        <f t="shared" si="9"/>
        <v>0</v>
      </c>
      <c r="N576" t="s">
        <v>1996</v>
      </c>
      <c r="O576" t="s">
        <v>1997</v>
      </c>
      <c r="P576">
        <v>2.78</v>
      </c>
    </row>
    <row r="577" spans="1:16" x14ac:dyDescent="0.35">
      <c r="A577" s="5" t="str">
        <f>HYPERLINK("https://tienda.tarracoimportexport.com/index.php?id_product=10735&amp;controller=product&amp;id_lang=4", "TR011699")</f>
        <v>TR011699</v>
      </c>
      <c r="B577" t="s">
        <v>1998</v>
      </c>
      <c r="D577" s="4">
        <v>9150</v>
      </c>
      <c r="E577" t="s">
        <v>1999</v>
      </c>
      <c r="F577" t="s">
        <v>1995</v>
      </c>
      <c r="G577" t="s">
        <v>39</v>
      </c>
      <c r="H577">
        <v>40</v>
      </c>
      <c r="I577">
        <v>960</v>
      </c>
      <c r="J577" t="s">
        <v>40</v>
      </c>
      <c r="K577" s="17">
        <v>1.43</v>
      </c>
      <c r="L577" s="3">
        <f t="shared" si="9"/>
        <v>0</v>
      </c>
      <c r="N577" t="s">
        <v>2000</v>
      </c>
      <c r="O577" t="s">
        <v>1997</v>
      </c>
      <c r="P577">
        <v>2.7749999999999999</v>
      </c>
    </row>
    <row r="578" spans="1:16" x14ac:dyDescent="0.35">
      <c r="A578" s="5" t="str">
        <f>HYPERLINK("https://tienda.tarracoimportexport.com/index.php?id_product=10742&amp;controller=product&amp;id_lang=4", "TR011706")</f>
        <v>TR011706</v>
      </c>
      <c r="B578" t="s">
        <v>2001</v>
      </c>
      <c r="D578" s="4">
        <v>2778</v>
      </c>
      <c r="E578" t="s">
        <v>2002</v>
      </c>
      <c r="F578" t="s">
        <v>1109</v>
      </c>
      <c r="G578" t="s">
        <v>39</v>
      </c>
      <c r="H578">
        <v>66</v>
      </c>
      <c r="I578">
        <v>2376</v>
      </c>
      <c r="J578" t="s">
        <v>2003</v>
      </c>
      <c r="K578" s="17">
        <v>1.39</v>
      </c>
      <c r="L578" s="3">
        <f t="shared" si="9"/>
        <v>0</v>
      </c>
      <c r="N578" t="s">
        <v>2004</v>
      </c>
      <c r="O578" t="s">
        <v>2005</v>
      </c>
      <c r="P578">
        <v>0.80500000000000005</v>
      </c>
    </row>
    <row r="579" spans="1:16" x14ac:dyDescent="0.35">
      <c r="A579" s="5" t="str">
        <f>HYPERLINK("https://tienda.tarracoimportexport.com/index.php?id_product=10743&amp;controller=product&amp;id_lang=4", "TR011707")</f>
        <v>TR011707</v>
      </c>
      <c r="B579" t="s">
        <v>2006</v>
      </c>
      <c r="D579" s="4">
        <v>5286</v>
      </c>
      <c r="E579" t="s">
        <v>2007</v>
      </c>
      <c r="F579" t="s">
        <v>982</v>
      </c>
      <c r="G579" t="s">
        <v>39</v>
      </c>
      <c r="H579">
        <v>66</v>
      </c>
      <c r="I579">
        <v>2376</v>
      </c>
      <c r="J579" t="s">
        <v>2003</v>
      </c>
      <c r="K579" s="17">
        <v>1.39</v>
      </c>
      <c r="L579" s="3">
        <f t="shared" si="9"/>
        <v>0</v>
      </c>
      <c r="N579" t="s">
        <v>2008</v>
      </c>
      <c r="O579" t="s">
        <v>2005</v>
      </c>
      <c r="P579">
        <v>0.80500000000000005</v>
      </c>
    </row>
    <row r="580" spans="1:16" x14ac:dyDescent="0.35">
      <c r="A580" s="5" t="str">
        <f>HYPERLINK("https://tienda.tarracoimportexport.com/index.php?id_product=9695&amp;controller=product&amp;id_lang=4", "TR010746")</f>
        <v>TR010746</v>
      </c>
      <c r="B580" t="s">
        <v>2010</v>
      </c>
      <c r="D580" s="4">
        <v>210</v>
      </c>
      <c r="E580" t="s">
        <v>2011</v>
      </c>
      <c r="F580" t="s">
        <v>171</v>
      </c>
      <c r="G580" t="s">
        <v>39</v>
      </c>
      <c r="H580">
        <v>72</v>
      </c>
      <c r="I580">
        <v>3888</v>
      </c>
      <c r="J580" t="s">
        <v>1833</v>
      </c>
      <c r="K580" s="17">
        <v>1.4</v>
      </c>
      <c r="L580" s="3">
        <f t="shared" si="9"/>
        <v>0</v>
      </c>
      <c r="N580" t="s">
        <v>2012</v>
      </c>
      <c r="O580" t="s">
        <v>2013</v>
      </c>
      <c r="P580">
        <v>0.5</v>
      </c>
    </row>
    <row r="581" spans="1:16" x14ac:dyDescent="0.35">
      <c r="A581" s="5" t="str">
        <f>HYPERLINK("https://tienda.tarracoimportexport.com/index.php?id_product=6986&amp;controller=product&amp;id_lang=4", "TR008082")</f>
        <v>TR008082</v>
      </c>
      <c r="B581" t="s">
        <v>2014</v>
      </c>
      <c r="D581" s="4">
        <v>32370</v>
      </c>
      <c r="E581" t="s">
        <v>2015</v>
      </c>
      <c r="F581" t="s">
        <v>1995</v>
      </c>
      <c r="G581" t="s">
        <v>39</v>
      </c>
      <c r="H581">
        <v>72</v>
      </c>
      <c r="I581">
        <v>3888</v>
      </c>
      <c r="J581" t="s">
        <v>1833</v>
      </c>
      <c r="K581" s="17">
        <v>1.4</v>
      </c>
      <c r="L581" s="3">
        <f t="shared" si="9"/>
        <v>0</v>
      </c>
      <c r="N581" t="s">
        <v>2016</v>
      </c>
      <c r="O581" t="s">
        <v>2017</v>
      </c>
      <c r="P581">
        <v>0.56000000000000005</v>
      </c>
    </row>
    <row r="582" spans="1:16" x14ac:dyDescent="0.35">
      <c r="A582" s="5" t="str">
        <f>HYPERLINK("https://tienda.tarracoimportexport.com/index.php?id_product=7623&amp;controller=product&amp;id_lang=4", "TR008792")</f>
        <v>TR008792</v>
      </c>
      <c r="B582" t="s">
        <v>2018</v>
      </c>
      <c r="D582" s="4">
        <v>6696</v>
      </c>
      <c r="E582" t="s">
        <v>2019</v>
      </c>
      <c r="F582" t="s">
        <v>1995</v>
      </c>
      <c r="G582" t="s">
        <v>39</v>
      </c>
      <c r="H582">
        <v>72</v>
      </c>
      <c r="I582">
        <v>3888</v>
      </c>
      <c r="J582" t="s">
        <v>1833</v>
      </c>
      <c r="K582" s="17">
        <v>1.4</v>
      </c>
      <c r="L582" s="3">
        <f t="shared" si="9"/>
        <v>0</v>
      </c>
      <c r="N582" t="s">
        <v>2020</v>
      </c>
      <c r="O582" t="s">
        <v>2017</v>
      </c>
      <c r="P582">
        <v>0.51500000000000001</v>
      </c>
    </row>
    <row r="583" spans="1:16" x14ac:dyDescent="0.35">
      <c r="A583" s="5" t="str">
        <f>HYPERLINK("https://tienda.tarracoimportexport.com/index.php?id_product=10753&amp;controller=product&amp;id_lang=4", "TR011714")</f>
        <v>TR011714</v>
      </c>
      <c r="B583" t="s">
        <v>2021</v>
      </c>
      <c r="D583" s="4">
        <v>11406</v>
      </c>
      <c r="E583" t="s">
        <v>2022</v>
      </c>
      <c r="F583" t="s">
        <v>237</v>
      </c>
      <c r="G583" t="s">
        <v>39</v>
      </c>
      <c r="H583">
        <v>72</v>
      </c>
      <c r="I583">
        <v>3888</v>
      </c>
      <c r="J583" t="s">
        <v>1833</v>
      </c>
      <c r="K583" s="17">
        <v>1.4</v>
      </c>
      <c r="L583" s="3">
        <f t="shared" si="9"/>
        <v>0</v>
      </c>
      <c r="N583" t="s">
        <v>2023</v>
      </c>
      <c r="O583" t="s">
        <v>2017</v>
      </c>
      <c r="P583">
        <v>0.51500000000000001</v>
      </c>
    </row>
    <row r="584" spans="1:16" x14ac:dyDescent="0.35">
      <c r="A584" s="5" t="str">
        <f>HYPERLINK("https://tienda.tarracoimportexport.com/index.php?id_product=9712&amp;controller=product&amp;id_lang=4", "TR010762")</f>
        <v>TR010762</v>
      </c>
      <c r="B584" t="s">
        <v>2024</v>
      </c>
      <c r="D584" s="4">
        <v>10584</v>
      </c>
      <c r="E584" t="s">
        <v>2025</v>
      </c>
      <c r="F584" t="s">
        <v>1109</v>
      </c>
      <c r="G584" t="s">
        <v>39</v>
      </c>
      <c r="H584">
        <v>72</v>
      </c>
      <c r="I584">
        <v>3888</v>
      </c>
      <c r="J584" t="s">
        <v>1833</v>
      </c>
      <c r="K584" s="17">
        <v>1.4</v>
      </c>
      <c r="L584" s="3">
        <f t="shared" si="9"/>
        <v>0</v>
      </c>
      <c r="N584" t="s">
        <v>2026</v>
      </c>
      <c r="O584" t="s">
        <v>2017</v>
      </c>
      <c r="P584">
        <v>0.52</v>
      </c>
    </row>
    <row r="585" spans="1:16" x14ac:dyDescent="0.35">
      <c r="A585" s="5" t="str">
        <f>HYPERLINK("https://tienda.tarracoimportexport.com/index.php?id_product=2872&amp;controller=product&amp;id_lang=4", "TR004332")</f>
        <v>TR004332</v>
      </c>
      <c r="B585" t="s">
        <v>2027</v>
      </c>
      <c r="D585" s="4">
        <v>12960</v>
      </c>
      <c r="E585" t="s">
        <v>2028</v>
      </c>
      <c r="F585" t="s">
        <v>115</v>
      </c>
      <c r="G585" t="s">
        <v>39</v>
      </c>
      <c r="H585">
        <v>72</v>
      </c>
      <c r="I585">
        <v>3888</v>
      </c>
      <c r="J585" t="s">
        <v>1833</v>
      </c>
      <c r="K585" s="17">
        <v>1.4</v>
      </c>
      <c r="L585" s="3">
        <f t="shared" si="9"/>
        <v>0</v>
      </c>
      <c r="N585" t="s">
        <v>2029</v>
      </c>
      <c r="O585" t="s">
        <v>2017</v>
      </c>
      <c r="P585">
        <v>0.52</v>
      </c>
    </row>
    <row r="586" spans="1:16" x14ac:dyDescent="0.35">
      <c r="A586" s="5" t="str">
        <f>HYPERLINK("https://tienda.tarracoimportexport.com/index.php?id_product=6865&amp;controller=product&amp;id_lang=4", "TR007967")</f>
        <v>TR007967</v>
      </c>
      <c r="B586" t="s">
        <v>2030</v>
      </c>
      <c r="D586" s="4">
        <v>588</v>
      </c>
      <c r="E586" t="s">
        <v>2031</v>
      </c>
      <c r="F586" t="s">
        <v>171</v>
      </c>
      <c r="G586" t="s">
        <v>39</v>
      </c>
      <c r="H586">
        <v>72</v>
      </c>
      <c r="I586">
        <v>3888</v>
      </c>
      <c r="J586" t="s">
        <v>1833</v>
      </c>
      <c r="K586" s="17">
        <v>1.4</v>
      </c>
      <c r="L586" s="3">
        <f t="shared" si="9"/>
        <v>0</v>
      </c>
      <c r="N586" t="s">
        <v>2032</v>
      </c>
      <c r="O586" t="s">
        <v>2033</v>
      </c>
      <c r="P586">
        <v>0.52</v>
      </c>
    </row>
    <row r="587" spans="1:16" x14ac:dyDescent="0.35">
      <c r="A587" s="5" t="str">
        <f>HYPERLINK("https://tienda.tarracoimportexport.com/index.php?id_product=10752&amp;controller=product&amp;id_lang=4", "TR011713")</f>
        <v>TR011713</v>
      </c>
      <c r="B587" t="s">
        <v>2034</v>
      </c>
      <c r="D587" s="4">
        <v>21396</v>
      </c>
      <c r="E587" t="s">
        <v>2035</v>
      </c>
      <c r="F587" t="s">
        <v>318</v>
      </c>
      <c r="G587" t="s">
        <v>39</v>
      </c>
      <c r="H587">
        <v>72</v>
      </c>
      <c r="I587">
        <v>3888</v>
      </c>
      <c r="J587" t="s">
        <v>1833</v>
      </c>
      <c r="K587" s="17">
        <v>1.4</v>
      </c>
      <c r="L587" s="3">
        <f t="shared" si="9"/>
        <v>0</v>
      </c>
      <c r="N587" t="s">
        <v>2036</v>
      </c>
      <c r="O587" t="s">
        <v>2017</v>
      </c>
      <c r="P587">
        <v>0.52</v>
      </c>
    </row>
    <row r="588" spans="1:16" x14ac:dyDescent="0.35">
      <c r="A588" s="5" t="str">
        <f>HYPERLINK("https://tienda.tarracoimportexport.com/index.php?id_product=4800&amp;controller=product&amp;id_lang=4", "TR006104")</f>
        <v>TR006104</v>
      </c>
      <c r="B588" t="s">
        <v>2037</v>
      </c>
      <c r="D588" s="4">
        <v>15498</v>
      </c>
      <c r="E588" t="s">
        <v>2038</v>
      </c>
      <c r="F588" t="s">
        <v>76</v>
      </c>
      <c r="G588" t="s">
        <v>39</v>
      </c>
      <c r="H588">
        <v>72</v>
      </c>
      <c r="I588">
        <v>3888</v>
      </c>
      <c r="J588" t="s">
        <v>1833</v>
      </c>
      <c r="K588" s="17">
        <v>1.4</v>
      </c>
      <c r="L588" s="3">
        <f t="shared" si="9"/>
        <v>0</v>
      </c>
      <c r="N588" t="s">
        <v>2039</v>
      </c>
      <c r="O588" t="s">
        <v>2040</v>
      </c>
      <c r="P588">
        <v>0.56000000000000005</v>
      </c>
    </row>
    <row r="589" spans="1:16" x14ac:dyDescent="0.35">
      <c r="A589" s="5" t="str">
        <f>HYPERLINK("https://tienda.tarracoimportexport.com/index.php?id_product=5905&amp;controller=product&amp;id_lang=4", "TR007054")</f>
        <v>TR007054</v>
      </c>
      <c r="B589" t="s">
        <v>2041</v>
      </c>
      <c r="D589" s="4">
        <v>7344</v>
      </c>
      <c r="E589" t="s">
        <v>2042</v>
      </c>
      <c r="F589" t="s">
        <v>1995</v>
      </c>
      <c r="G589" t="s">
        <v>39</v>
      </c>
      <c r="H589">
        <v>72</v>
      </c>
      <c r="I589">
        <v>3888</v>
      </c>
      <c r="J589" t="s">
        <v>1833</v>
      </c>
      <c r="K589" s="17">
        <v>1.4</v>
      </c>
      <c r="L589" s="3">
        <f t="shared" si="9"/>
        <v>0</v>
      </c>
      <c r="N589" t="s">
        <v>2043</v>
      </c>
      <c r="O589" t="s">
        <v>2017</v>
      </c>
      <c r="P589">
        <v>0.52</v>
      </c>
    </row>
    <row r="590" spans="1:16" x14ac:dyDescent="0.35">
      <c r="A590" s="5" t="str">
        <f>HYPERLINK("https://tienda.tarracoimportexport.com/index.php?id_product=9665&amp;controller=product&amp;id_lang=4", "TR010716")</f>
        <v>TR010716</v>
      </c>
      <c r="B590" t="s">
        <v>2041</v>
      </c>
      <c r="D590" s="4">
        <v>408</v>
      </c>
      <c r="E590" t="s">
        <v>2044</v>
      </c>
      <c r="F590" t="s">
        <v>171</v>
      </c>
      <c r="G590" t="s">
        <v>39</v>
      </c>
      <c r="H590">
        <v>72</v>
      </c>
      <c r="I590">
        <v>3888</v>
      </c>
      <c r="J590" t="s">
        <v>1833</v>
      </c>
      <c r="K590" s="17">
        <v>1.4</v>
      </c>
      <c r="L590" s="3">
        <f t="shared" si="9"/>
        <v>0</v>
      </c>
      <c r="N590" t="s">
        <v>2045</v>
      </c>
      <c r="O590" t="s">
        <v>2013</v>
      </c>
      <c r="P590">
        <v>0.53</v>
      </c>
    </row>
    <row r="591" spans="1:16" x14ac:dyDescent="0.35">
      <c r="A591" s="5" t="str">
        <f>HYPERLINK("https://tienda.tarracoimportexport.com/index.php?id_product=10891&amp;controller=product&amp;id_lang=4", "TR011837")</f>
        <v>TR011837</v>
      </c>
      <c r="B591" t="s">
        <v>2046</v>
      </c>
      <c r="D591" s="4">
        <v>120168</v>
      </c>
      <c r="E591" t="s">
        <v>2047</v>
      </c>
      <c r="F591" t="s">
        <v>16</v>
      </c>
      <c r="G591" t="s">
        <v>106</v>
      </c>
      <c r="H591">
        <v>30</v>
      </c>
      <c r="I591">
        <v>3600</v>
      </c>
      <c r="J591" t="s">
        <v>1140</v>
      </c>
      <c r="K591" s="17">
        <v>1.1499999999999999</v>
      </c>
      <c r="L591" s="3">
        <f t="shared" si="9"/>
        <v>0</v>
      </c>
      <c r="N591" t="s">
        <v>2048</v>
      </c>
      <c r="O591" t="s">
        <v>42</v>
      </c>
      <c r="P591">
        <v>1.0569999999999999</v>
      </c>
    </row>
    <row r="592" spans="1:16" x14ac:dyDescent="0.35">
      <c r="A592" s="5" t="str">
        <f>HYPERLINK("https://tienda.tarracoimportexport.com/index.php?id_product=9851&amp;controller=product&amp;id_lang=4", "TR010897")</f>
        <v>TR010897</v>
      </c>
      <c r="B592" t="s">
        <v>2049</v>
      </c>
      <c r="D592" s="4">
        <v>432</v>
      </c>
      <c r="E592" t="s">
        <v>2050</v>
      </c>
      <c r="F592" t="s">
        <v>16</v>
      </c>
      <c r="G592" t="s">
        <v>50</v>
      </c>
      <c r="H592">
        <v>34</v>
      </c>
      <c r="I592">
        <v>816</v>
      </c>
      <c r="J592" t="s">
        <v>2051</v>
      </c>
      <c r="K592" s="17">
        <v>9.43</v>
      </c>
      <c r="L592" s="3">
        <f t="shared" si="9"/>
        <v>0</v>
      </c>
      <c r="N592" t="s">
        <v>2052</v>
      </c>
      <c r="O592" t="s">
        <v>2053</v>
      </c>
      <c r="P592">
        <v>0.59499999999999997</v>
      </c>
    </row>
    <row r="593" spans="1:16" x14ac:dyDescent="0.35">
      <c r="A593" s="5" t="str">
        <f>HYPERLINK("https://tienda.tarracoimportexport.com/index.php?id_product=7377&amp;controller=product&amp;id_lang=4", "TR008558")</f>
        <v>TR008558</v>
      </c>
      <c r="B593" t="s">
        <v>2054</v>
      </c>
      <c r="D593" s="4">
        <v>306</v>
      </c>
      <c r="E593" t="s">
        <v>2055</v>
      </c>
      <c r="F593" t="s">
        <v>1104</v>
      </c>
      <c r="G593" t="s">
        <v>39</v>
      </c>
      <c r="H593">
        <v>12</v>
      </c>
      <c r="I593">
        <v>432</v>
      </c>
      <c r="J593" t="s">
        <v>94</v>
      </c>
      <c r="K593" s="17">
        <v>3.08</v>
      </c>
      <c r="L593" s="3">
        <f t="shared" si="9"/>
        <v>0</v>
      </c>
      <c r="N593" t="s">
        <v>2056</v>
      </c>
      <c r="O593" t="s">
        <v>86</v>
      </c>
      <c r="P593">
        <v>6.92</v>
      </c>
    </row>
    <row r="594" spans="1:16" x14ac:dyDescent="0.35">
      <c r="A594" s="5" t="str">
        <f>HYPERLINK("https://tienda.tarracoimportexport.com/index.php?id_product=7075&amp;controller=product&amp;id_lang=4", "TR008169")</f>
        <v>TR008169</v>
      </c>
      <c r="B594" t="s">
        <v>2057</v>
      </c>
      <c r="D594" s="4">
        <v>762</v>
      </c>
      <c r="E594" t="s">
        <v>2058</v>
      </c>
      <c r="F594" t="s">
        <v>757</v>
      </c>
      <c r="G594" t="s">
        <v>39</v>
      </c>
      <c r="H594">
        <v>12</v>
      </c>
      <c r="I594">
        <v>432</v>
      </c>
      <c r="J594" t="s">
        <v>94</v>
      </c>
      <c r="K594" s="17">
        <v>3.24</v>
      </c>
      <c r="L594" s="3">
        <f t="shared" si="9"/>
        <v>0</v>
      </c>
      <c r="N594" t="s">
        <v>2059</v>
      </c>
      <c r="O594" t="s">
        <v>2060</v>
      </c>
      <c r="P594">
        <v>6.915</v>
      </c>
    </row>
    <row r="595" spans="1:16" x14ac:dyDescent="0.35">
      <c r="A595" s="5" t="str">
        <f>HYPERLINK("https://tienda.tarracoimportexport.com/index.php?id_product=8399&amp;controller=product&amp;id_lang=4", "TR009543")</f>
        <v>TR009543</v>
      </c>
      <c r="B595" t="s">
        <v>2061</v>
      </c>
      <c r="D595" s="4">
        <v>28320</v>
      </c>
      <c r="E595" t="s">
        <v>2062</v>
      </c>
      <c r="F595" t="s">
        <v>16</v>
      </c>
      <c r="G595" t="s">
        <v>374</v>
      </c>
      <c r="H595">
        <v>8</v>
      </c>
      <c r="I595">
        <v>3072</v>
      </c>
      <c r="J595" t="s">
        <v>1361</v>
      </c>
      <c r="K595" s="17">
        <v>0.5</v>
      </c>
      <c r="L595" s="3">
        <f t="shared" si="9"/>
        <v>0</v>
      </c>
      <c r="N595" t="s">
        <v>2063</v>
      </c>
      <c r="O595" t="s">
        <v>42</v>
      </c>
      <c r="P595">
        <v>2.93</v>
      </c>
    </row>
    <row r="596" spans="1:16" x14ac:dyDescent="0.35">
      <c r="A596" s="5" t="str">
        <f>HYPERLINK("https://tienda.tarracoimportexport.com/index.php?id_product=10187&amp;controller=product&amp;id_lang=4", "TR011221")</f>
        <v>TR011221</v>
      </c>
      <c r="B596" t="s">
        <v>2064</v>
      </c>
      <c r="D596" s="4">
        <v>40032</v>
      </c>
      <c r="E596" t="s">
        <v>2065</v>
      </c>
      <c r="F596" t="s">
        <v>16</v>
      </c>
      <c r="G596" t="s">
        <v>374</v>
      </c>
      <c r="H596">
        <v>9</v>
      </c>
      <c r="I596">
        <v>3456</v>
      </c>
      <c r="J596" t="s">
        <v>22</v>
      </c>
      <c r="K596" s="17">
        <v>0.52</v>
      </c>
      <c r="L596" s="3">
        <f t="shared" si="9"/>
        <v>0</v>
      </c>
      <c r="N596" t="s">
        <v>2066</v>
      </c>
      <c r="O596" t="s">
        <v>504</v>
      </c>
      <c r="P596">
        <v>3.21</v>
      </c>
    </row>
    <row r="597" spans="1:16" x14ac:dyDescent="0.35">
      <c r="A597" s="5" t="str">
        <f>HYPERLINK("https://tienda.tarracoimportexport.com/index.php?id_product=10250&amp;controller=product&amp;id_lang=4", "TR011272")</f>
        <v>TR011272</v>
      </c>
      <c r="B597" t="s">
        <v>2067</v>
      </c>
      <c r="D597" s="4">
        <v>6120</v>
      </c>
      <c r="E597" t="s">
        <v>2068</v>
      </c>
      <c r="F597" t="s">
        <v>16</v>
      </c>
      <c r="G597" t="s">
        <v>94</v>
      </c>
      <c r="H597">
        <v>12</v>
      </c>
      <c r="I597">
        <v>3456</v>
      </c>
      <c r="J597" t="s">
        <v>202</v>
      </c>
      <c r="K597" s="17">
        <v>0.89</v>
      </c>
      <c r="L597" s="3">
        <f t="shared" si="9"/>
        <v>0</v>
      </c>
      <c r="N597" t="s">
        <v>2069</v>
      </c>
      <c r="O597" t="s">
        <v>2070</v>
      </c>
      <c r="P597">
        <v>2.6949999999999998</v>
      </c>
    </row>
    <row r="598" spans="1:16" x14ac:dyDescent="0.35">
      <c r="A598" s="5" t="str">
        <f>HYPERLINK("https://tienda.tarracoimportexport.com/index.php?id_product=8352&amp;controller=product&amp;id_lang=4", "TR009496")</f>
        <v>TR009496</v>
      </c>
      <c r="B598" t="s">
        <v>2071</v>
      </c>
      <c r="D598" s="4">
        <v>2872</v>
      </c>
      <c r="E598" t="s">
        <v>2072</v>
      </c>
      <c r="F598" t="s">
        <v>16</v>
      </c>
      <c r="G598" t="s">
        <v>62</v>
      </c>
      <c r="H598">
        <v>7</v>
      </c>
      <c r="I598">
        <v>504</v>
      </c>
      <c r="J598" t="s">
        <v>2073</v>
      </c>
      <c r="K598" s="17">
        <v>4.08</v>
      </c>
      <c r="L598" s="3">
        <f t="shared" si="9"/>
        <v>0</v>
      </c>
      <c r="N598" t="s">
        <v>2074</v>
      </c>
      <c r="O598" t="s">
        <v>2075</v>
      </c>
      <c r="P598">
        <v>1.575</v>
      </c>
    </row>
    <row r="599" spans="1:16" x14ac:dyDescent="0.35">
      <c r="A599" s="5" t="str">
        <f>HYPERLINK("https://tienda.tarracoimportexport.com/index.php?id_product=10892&amp;controller=product&amp;id_lang=4", "TR011838")</f>
        <v>TR011838</v>
      </c>
      <c r="B599" t="s">
        <v>2076</v>
      </c>
      <c r="D599" s="4">
        <v>144</v>
      </c>
      <c r="E599" t="s">
        <v>2077</v>
      </c>
      <c r="F599" t="s">
        <v>967</v>
      </c>
      <c r="G599" t="s">
        <v>50</v>
      </c>
      <c r="H599">
        <v>35</v>
      </c>
      <c r="I599">
        <v>2940</v>
      </c>
      <c r="J599" t="s">
        <v>2078</v>
      </c>
      <c r="K599" s="17">
        <v>1.1399999999999999</v>
      </c>
      <c r="L599" s="3">
        <f t="shared" si="9"/>
        <v>0</v>
      </c>
      <c r="N599" t="s">
        <v>2079</v>
      </c>
      <c r="O599" t="s">
        <v>42</v>
      </c>
      <c r="P599">
        <v>2.5659999999999998</v>
      </c>
    </row>
    <row r="600" spans="1:16" x14ac:dyDescent="0.35">
      <c r="A600" s="5" t="str">
        <f>HYPERLINK("https://tienda.tarracoimportexport.com/index.php?id_product=8410&amp;controller=product&amp;id_lang=4", "TR009552")</f>
        <v>TR009552</v>
      </c>
      <c r="B600" t="s">
        <v>2080</v>
      </c>
      <c r="D600" s="4">
        <v>1296</v>
      </c>
      <c r="E600" t="s">
        <v>2081</v>
      </c>
      <c r="F600" t="s">
        <v>16</v>
      </c>
      <c r="G600" t="s">
        <v>50</v>
      </c>
      <c r="H600">
        <v>24</v>
      </c>
      <c r="I600">
        <v>1152</v>
      </c>
      <c r="J600" t="s">
        <v>374</v>
      </c>
      <c r="K600" s="17">
        <v>0.88</v>
      </c>
      <c r="L600" s="3">
        <f t="shared" si="9"/>
        <v>0</v>
      </c>
      <c r="N600" t="s">
        <v>2082</v>
      </c>
      <c r="O600" t="s">
        <v>2083</v>
      </c>
      <c r="P600">
        <v>4.91</v>
      </c>
    </row>
    <row r="601" spans="1:16" x14ac:dyDescent="0.35">
      <c r="A601" s="5" t="str">
        <f>HYPERLINK("https://tienda.tarracoimportexport.com/index.php?id_product=8408&amp;controller=product&amp;id_lang=4", "TR009550")</f>
        <v>TR009550</v>
      </c>
      <c r="B601" t="s">
        <v>2084</v>
      </c>
      <c r="D601" s="4">
        <v>204</v>
      </c>
      <c r="E601" t="s">
        <v>2085</v>
      </c>
      <c r="F601" t="s">
        <v>16</v>
      </c>
      <c r="G601" t="s">
        <v>50</v>
      </c>
      <c r="H601">
        <v>24</v>
      </c>
      <c r="I601">
        <v>1152</v>
      </c>
      <c r="J601" t="s">
        <v>374</v>
      </c>
      <c r="K601" s="17">
        <v>0.88</v>
      </c>
      <c r="L601" s="3">
        <f t="shared" si="9"/>
        <v>0</v>
      </c>
      <c r="N601" t="s">
        <v>2086</v>
      </c>
      <c r="O601" t="s">
        <v>2087</v>
      </c>
      <c r="P601">
        <v>4.8899999999999997</v>
      </c>
    </row>
    <row r="602" spans="1:16" x14ac:dyDescent="0.35">
      <c r="A602" s="5" t="str">
        <f>HYPERLINK("https://tienda.tarracoimportexport.com/index.php?id_product=8412&amp;controller=product&amp;id_lang=4", "TR009553")</f>
        <v>TR009553</v>
      </c>
      <c r="B602" t="s">
        <v>2088</v>
      </c>
      <c r="D602" s="4">
        <v>1896</v>
      </c>
      <c r="E602" t="s">
        <v>2089</v>
      </c>
      <c r="F602" t="s">
        <v>16</v>
      </c>
      <c r="G602" t="s">
        <v>50</v>
      </c>
      <c r="H602">
        <v>24</v>
      </c>
      <c r="I602">
        <v>1152</v>
      </c>
      <c r="J602" t="s">
        <v>374</v>
      </c>
      <c r="K602" s="17">
        <v>0.88</v>
      </c>
      <c r="L602" s="3">
        <f t="shared" si="9"/>
        <v>0</v>
      </c>
      <c r="N602" t="s">
        <v>2090</v>
      </c>
      <c r="O602" t="s">
        <v>2091</v>
      </c>
      <c r="P602">
        <v>4.99</v>
      </c>
    </row>
    <row r="603" spans="1:16" x14ac:dyDescent="0.35">
      <c r="A603" s="5" t="str">
        <f>HYPERLINK("https://tienda.tarracoimportexport.com/index.php?id_product=8436&amp;controller=product&amp;id_lang=4", "TR009577")</f>
        <v>TR009577</v>
      </c>
      <c r="B603" t="s">
        <v>2092</v>
      </c>
      <c r="D603" s="4">
        <v>1332</v>
      </c>
      <c r="E603" t="s">
        <v>2093</v>
      </c>
      <c r="F603" t="s">
        <v>16</v>
      </c>
      <c r="G603" t="s">
        <v>50</v>
      </c>
      <c r="H603">
        <v>24</v>
      </c>
      <c r="I603">
        <v>1152</v>
      </c>
      <c r="J603" t="s">
        <v>374</v>
      </c>
      <c r="K603" s="17">
        <v>0.88</v>
      </c>
      <c r="L603" s="3">
        <f t="shared" si="9"/>
        <v>0</v>
      </c>
      <c r="N603" t="s">
        <v>2094</v>
      </c>
      <c r="O603" t="s">
        <v>2095</v>
      </c>
      <c r="P603">
        <v>4.8899999999999997</v>
      </c>
    </row>
    <row r="604" spans="1:16" x14ac:dyDescent="0.35">
      <c r="A604" s="5" t="str">
        <f>HYPERLINK("https://tienda.tarracoimportexport.com/index.php?id_product=8409&amp;controller=product&amp;id_lang=4", "TR009551")</f>
        <v>TR009551</v>
      </c>
      <c r="B604" t="s">
        <v>2096</v>
      </c>
      <c r="D604" s="4">
        <v>3708</v>
      </c>
      <c r="E604" t="s">
        <v>2097</v>
      </c>
      <c r="F604" t="s">
        <v>16</v>
      </c>
      <c r="G604" t="s">
        <v>50</v>
      </c>
      <c r="H604">
        <v>24</v>
      </c>
      <c r="I604">
        <v>1152</v>
      </c>
      <c r="J604" t="s">
        <v>374</v>
      </c>
      <c r="K604" s="17">
        <v>0.88</v>
      </c>
      <c r="L604" s="3">
        <f t="shared" si="9"/>
        <v>0</v>
      </c>
      <c r="N604" t="s">
        <v>2098</v>
      </c>
      <c r="O604" t="s">
        <v>2099</v>
      </c>
      <c r="P604">
        <v>4.9000000000000004</v>
      </c>
    </row>
    <row r="605" spans="1:16" x14ac:dyDescent="0.35">
      <c r="A605" s="5" t="str">
        <f>HYPERLINK("https://tienda.tarracoimportexport.com/index.php?id_product=10895&amp;controller=product&amp;id_lang=4", "TR011841")</f>
        <v>TR011841</v>
      </c>
      <c r="B605" t="s">
        <v>2100</v>
      </c>
      <c r="D605" s="4">
        <v>930</v>
      </c>
      <c r="E605" t="s">
        <v>2101</v>
      </c>
      <c r="F605" t="s">
        <v>16</v>
      </c>
      <c r="G605" t="s">
        <v>526</v>
      </c>
      <c r="H605">
        <v>22</v>
      </c>
      <c r="I605">
        <v>132</v>
      </c>
      <c r="J605" t="s">
        <v>1982</v>
      </c>
      <c r="K605" s="17">
        <v>13.9</v>
      </c>
      <c r="L605" s="3">
        <f t="shared" si="9"/>
        <v>0</v>
      </c>
      <c r="N605" t="s">
        <v>2102</v>
      </c>
      <c r="O605" t="s">
        <v>42</v>
      </c>
      <c r="P605">
        <v>3.4119999999999999</v>
      </c>
    </row>
    <row r="606" spans="1:16" x14ac:dyDescent="0.35">
      <c r="A606" s="5" t="str">
        <f>HYPERLINK("https://tienda.tarracoimportexport.com/index.php?id_product=10897&amp;controller=product&amp;id_lang=4", "TR011843")</f>
        <v>TR011843</v>
      </c>
      <c r="B606" t="s">
        <v>2103</v>
      </c>
      <c r="D606" s="4">
        <v>2060</v>
      </c>
      <c r="E606" t="s">
        <v>2104</v>
      </c>
      <c r="F606" t="s">
        <v>606</v>
      </c>
      <c r="G606" t="s">
        <v>46</v>
      </c>
      <c r="H606">
        <v>8</v>
      </c>
      <c r="I606">
        <v>240</v>
      </c>
      <c r="J606" t="s">
        <v>202</v>
      </c>
      <c r="K606" s="17">
        <v>5.99</v>
      </c>
      <c r="L606" s="3">
        <f t="shared" si="9"/>
        <v>0</v>
      </c>
      <c r="N606" t="s">
        <v>2105</v>
      </c>
      <c r="O606" t="s">
        <v>30</v>
      </c>
      <c r="P606">
        <v>5</v>
      </c>
    </row>
    <row r="607" spans="1:16" x14ac:dyDescent="0.35">
      <c r="A607" s="5" t="str">
        <f>HYPERLINK("https://tienda.tarracoimportexport.com/index.php?id_product=10896&amp;controller=product&amp;id_lang=4", "TR011842")</f>
        <v>TR011842</v>
      </c>
      <c r="B607" t="s">
        <v>2106</v>
      </c>
      <c r="D607" s="4">
        <v>2050</v>
      </c>
      <c r="E607" t="s">
        <v>2107</v>
      </c>
      <c r="F607" t="s">
        <v>16</v>
      </c>
      <c r="G607" t="s">
        <v>46</v>
      </c>
      <c r="H607">
        <v>8</v>
      </c>
      <c r="I607">
        <v>240</v>
      </c>
      <c r="J607" t="s">
        <v>202</v>
      </c>
      <c r="K607" s="17">
        <v>5.0999999999999996</v>
      </c>
      <c r="L607" s="3">
        <f t="shared" si="9"/>
        <v>0</v>
      </c>
      <c r="N607" t="s">
        <v>2108</v>
      </c>
      <c r="O607" t="s">
        <v>30</v>
      </c>
      <c r="P607">
        <v>0.85499999999999998</v>
      </c>
    </row>
    <row r="608" spans="1:16" x14ac:dyDescent="0.35">
      <c r="A608" s="5" t="str">
        <f>HYPERLINK("https://tienda.tarracoimportexport.com/index.php?id_product=7375&amp;controller=product&amp;id_lang=4", "TR008556")</f>
        <v>TR008556</v>
      </c>
      <c r="B608" t="s">
        <v>2109</v>
      </c>
      <c r="D608" s="4">
        <v>3018</v>
      </c>
      <c r="E608" t="s">
        <v>2110</v>
      </c>
      <c r="F608" t="s">
        <v>16</v>
      </c>
      <c r="G608" t="s">
        <v>39</v>
      </c>
      <c r="H608">
        <v>72</v>
      </c>
      <c r="I608">
        <v>1296</v>
      </c>
      <c r="J608" t="s">
        <v>57</v>
      </c>
      <c r="K608" s="17">
        <v>1.59</v>
      </c>
      <c r="L608" s="3">
        <f t="shared" si="9"/>
        <v>0</v>
      </c>
      <c r="N608" t="s">
        <v>2111</v>
      </c>
      <c r="O608" t="s">
        <v>71</v>
      </c>
      <c r="P608">
        <v>2.2149999999999999</v>
      </c>
    </row>
    <row r="609" spans="1:16" x14ac:dyDescent="0.35">
      <c r="A609" s="5" t="str">
        <f>HYPERLINK("https://tienda.tarracoimportexport.com/index.php?id_product=7376&amp;controller=product&amp;id_lang=4", "TR008557")</f>
        <v>TR008557</v>
      </c>
      <c r="B609" t="s">
        <v>2112</v>
      </c>
      <c r="D609" s="4">
        <v>3186</v>
      </c>
      <c r="E609" t="s">
        <v>2113</v>
      </c>
      <c r="F609" t="s">
        <v>16</v>
      </c>
      <c r="G609" t="s">
        <v>39</v>
      </c>
      <c r="H609">
        <v>72</v>
      </c>
      <c r="I609">
        <v>1296</v>
      </c>
      <c r="J609" t="s">
        <v>57</v>
      </c>
      <c r="K609" s="17">
        <v>1.59</v>
      </c>
      <c r="L609" s="3">
        <f t="shared" si="9"/>
        <v>0</v>
      </c>
      <c r="N609" t="s">
        <v>2114</v>
      </c>
      <c r="O609" t="s">
        <v>71</v>
      </c>
      <c r="P609">
        <v>2.25</v>
      </c>
    </row>
    <row r="610" spans="1:16" x14ac:dyDescent="0.35">
      <c r="A610" s="5" t="str">
        <f>HYPERLINK("https://tienda.tarracoimportexport.com/index.php?id_product=7338&amp;controller=product&amp;id_lang=4", "TR008524")</f>
        <v>TR008524</v>
      </c>
      <c r="B610" t="s">
        <v>2115</v>
      </c>
      <c r="D610" s="4">
        <v>2664</v>
      </c>
      <c r="E610" t="s">
        <v>2116</v>
      </c>
      <c r="F610" t="s">
        <v>16</v>
      </c>
      <c r="G610" t="s">
        <v>39</v>
      </c>
      <c r="H610">
        <v>72</v>
      </c>
      <c r="I610">
        <v>1296</v>
      </c>
      <c r="J610" t="s">
        <v>57</v>
      </c>
      <c r="K610" s="17">
        <v>1.59</v>
      </c>
      <c r="L610" s="3">
        <f t="shared" si="9"/>
        <v>0</v>
      </c>
      <c r="N610" t="s">
        <v>2117</v>
      </c>
      <c r="O610" t="s">
        <v>71</v>
      </c>
      <c r="P610">
        <v>2.2250000000000001</v>
      </c>
    </row>
    <row r="611" spans="1:16" x14ac:dyDescent="0.35">
      <c r="A611" s="5" t="str">
        <f>HYPERLINK("https://tienda.tarracoimportexport.com/index.php?id_product=7348&amp;controller=product&amp;id_lang=4", "TR008530")</f>
        <v>TR008530</v>
      </c>
      <c r="B611" t="s">
        <v>2118</v>
      </c>
      <c r="D611" s="4">
        <v>1638</v>
      </c>
      <c r="E611" t="s">
        <v>2119</v>
      </c>
      <c r="F611" t="s">
        <v>16</v>
      </c>
      <c r="G611" t="s">
        <v>39</v>
      </c>
      <c r="H611">
        <v>72</v>
      </c>
      <c r="I611">
        <v>1296</v>
      </c>
      <c r="J611" t="s">
        <v>57</v>
      </c>
      <c r="K611" s="17">
        <v>1.59</v>
      </c>
      <c r="L611" s="3">
        <f t="shared" si="9"/>
        <v>0</v>
      </c>
      <c r="N611" t="s">
        <v>2120</v>
      </c>
      <c r="O611" t="s">
        <v>71</v>
      </c>
      <c r="P611">
        <v>2.2200000000000002</v>
      </c>
    </row>
    <row r="612" spans="1:16" x14ac:dyDescent="0.35">
      <c r="A612" s="5" t="str">
        <f>HYPERLINK("https://tienda.tarracoimportexport.com/index.php?id_product=7369&amp;controller=product&amp;id_lang=4", "TR008550")</f>
        <v>TR008550</v>
      </c>
      <c r="B612" t="s">
        <v>2121</v>
      </c>
      <c r="D612" s="4">
        <v>4518</v>
      </c>
      <c r="E612" t="s">
        <v>2122</v>
      </c>
      <c r="F612" t="s">
        <v>16</v>
      </c>
      <c r="G612" t="s">
        <v>39</v>
      </c>
      <c r="H612">
        <v>72</v>
      </c>
      <c r="I612">
        <v>1296</v>
      </c>
      <c r="J612" t="s">
        <v>57</v>
      </c>
      <c r="K612" s="17">
        <v>1.59</v>
      </c>
      <c r="L612" s="3">
        <f t="shared" si="9"/>
        <v>0</v>
      </c>
      <c r="N612" t="s">
        <v>2123</v>
      </c>
      <c r="O612" t="s">
        <v>71</v>
      </c>
      <c r="P612">
        <v>2.23</v>
      </c>
    </row>
    <row r="613" spans="1:16" x14ac:dyDescent="0.35">
      <c r="A613" s="5" t="str">
        <f>HYPERLINK("https://tienda.tarracoimportexport.com/index.php?id_product=10900&amp;controller=product&amp;id_lang=4", "TR011846")</f>
        <v>TR011846</v>
      </c>
      <c r="B613" t="s">
        <v>2124</v>
      </c>
      <c r="D613" s="4">
        <v>738</v>
      </c>
      <c r="E613" t="s">
        <v>2125</v>
      </c>
      <c r="F613" t="s">
        <v>16</v>
      </c>
      <c r="G613" t="s">
        <v>39</v>
      </c>
      <c r="H613">
        <v>30</v>
      </c>
      <c r="I613">
        <v>720</v>
      </c>
      <c r="J613" t="s">
        <v>63</v>
      </c>
      <c r="K613" s="17">
        <v>2.39</v>
      </c>
      <c r="L613" s="3">
        <f t="shared" si="9"/>
        <v>0</v>
      </c>
      <c r="N613" t="s">
        <v>2126</v>
      </c>
      <c r="O613" t="s">
        <v>42</v>
      </c>
      <c r="P613">
        <v>4.2149999999999999</v>
      </c>
    </row>
    <row r="614" spans="1:16" x14ac:dyDescent="0.35">
      <c r="A614" s="5" t="str">
        <f>HYPERLINK("https://tienda.tarracoimportexport.com/index.php?id_product=10899&amp;controller=product&amp;id_lang=4", "TR011845")</f>
        <v>TR011845</v>
      </c>
      <c r="B614" t="s">
        <v>2127</v>
      </c>
      <c r="D614" s="4">
        <v>1500</v>
      </c>
      <c r="E614" t="s">
        <v>2128</v>
      </c>
      <c r="F614" t="s">
        <v>16</v>
      </c>
      <c r="G614" t="s">
        <v>39</v>
      </c>
      <c r="H614">
        <v>30</v>
      </c>
      <c r="I614">
        <v>720</v>
      </c>
      <c r="J614" t="s">
        <v>63</v>
      </c>
      <c r="K614" s="17">
        <v>2.39</v>
      </c>
      <c r="L614" s="3">
        <f t="shared" si="9"/>
        <v>0</v>
      </c>
      <c r="N614" t="s">
        <v>2129</v>
      </c>
      <c r="O614" t="s">
        <v>42</v>
      </c>
      <c r="P614">
        <v>4.1900000000000004</v>
      </c>
    </row>
    <row r="615" spans="1:16" x14ac:dyDescent="0.35">
      <c r="A615" s="5" t="str">
        <f>HYPERLINK("https://tienda.tarracoimportexport.com/index.php?id_product=10901&amp;controller=product&amp;id_lang=4", "TR011847")</f>
        <v>TR011847</v>
      </c>
      <c r="B615" t="s">
        <v>2130</v>
      </c>
      <c r="D615" s="4">
        <v>750</v>
      </c>
      <c r="E615" t="s">
        <v>2131</v>
      </c>
      <c r="F615" t="s">
        <v>16</v>
      </c>
      <c r="G615" t="s">
        <v>39</v>
      </c>
      <c r="H615">
        <v>30</v>
      </c>
      <c r="I615">
        <v>720</v>
      </c>
      <c r="J615" t="s">
        <v>63</v>
      </c>
      <c r="K615" s="17">
        <v>2.39</v>
      </c>
      <c r="L615" s="3">
        <f t="shared" si="9"/>
        <v>0</v>
      </c>
      <c r="N615" t="s">
        <v>2132</v>
      </c>
      <c r="O615" t="s">
        <v>42</v>
      </c>
      <c r="P615">
        <v>4.1900000000000004</v>
      </c>
    </row>
    <row r="616" spans="1:16" x14ac:dyDescent="0.35">
      <c r="A616" s="5" t="str">
        <f>HYPERLINK("https://tienda.tarracoimportexport.com/index.php?id_product=8870&amp;controller=product&amp;id_lang=4", "TR009962")</f>
        <v>TR009962</v>
      </c>
      <c r="B616" t="s">
        <v>2133</v>
      </c>
      <c r="D616" s="4">
        <v>168</v>
      </c>
      <c r="E616" t="s">
        <v>2134</v>
      </c>
      <c r="F616" t="s">
        <v>16</v>
      </c>
      <c r="G616" t="s">
        <v>39</v>
      </c>
      <c r="H616">
        <v>30</v>
      </c>
      <c r="I616">
        <v>540</v>
      </c>
      <c r="J616" t="s">
        <v>357</v>
      </c>
      <c r="K616" s="17">
        <v>3</v>
      </c>
      <c r="L616" s="3">
        <f t="shared" si="9"/>
        <v>0</v>
      </c>
      <c r="N616" t="s">
        <v>2135</v>
      </c>
      <c r="O616" t="s">
        <v>71</v>
      </c>
      <c r="P616">
        <v>4.72</v>
      </c>
    </row>
    <row r="617" spans="1:16" x14ac:dyDescent="0.35">
      <c r="A617" s="5" t="str">
        <f>HYPERLINK("https://tienda.tarracoimportexport.com/index.php?id_product=8869&amp;controller=product&amp;id_lang=4", "TR009961")</f>
        <v>TR009961</v>
      </c>
      <c r="B617" t="s">
        <v>2136</v>
      </c>
      <c r="D617" s="4">
        <v>1032</v>
      </c>
      <c r="E617" t="s">
        <v>2137</v>
      </c>
      <c r="F617" t="s">
        <v>16</v>
      </c>
      <c r="G617" t="s">
        <v>39</v>
      </c>
      <c r="H617">
        <v>30</v>
      </c>
      <c r="I617">
        <v>540</v>
      </c>
      <c r="J617" t="s">
        <v>357</v>
      </c>
      <c r="K617" s="17">
        <v>3</v>
      </c>
      <c r="L617" s="3">
        <f t="shared" si="9"/>
        <v>0</v>
      </c>
      <c r="N617" t="s">
        <v>2138</v>
      </c>
      <c r="O617" t="s">
        <v>71</v>
      </c>
      <c r="P617">
        <v>4.6900000000000004</v>
      </c>
    </row>
    <row r="618" spans="1:16" x14ac:dyDescent="0.35">
      <c r="A618" s="5" t="str">
        <f>HYPERLINK("https://tienda.tarracoimportexport.com/index.php?id_product=8922&amp;controller=product&amp;id_lang=4", "TR010011")</f>
        <v>TR010011</v>
      </c>
      <c r="B618" t="s">
        <v>2139</v>
      </c>
      <c r="D618" s="4">
        <v>2656</v>
      </c>
      <c r="E618" t="s">
        <v>2140</v>
      </c>
      <c r="F618" t="s">
        <v>16</v>
      </c>
      <c r="G618" t="s">
        <v>62</v>
      </c>
      <c r="H618">
        <v>48</v>
      </c>
      <c r="I618">
        <v>4224</v>
      </c>
      <c r="J618" t="s">
        <v>2141</v>
      </c>
      <c r="K618" s="17">
        <v>0.31</v>
      </c>
      <c r="L618" s="3">
        <f t="shared" si="9"/>
        <v>0</v>
      </c>
      <c r="N618" t="s">
        <v>2142</v>
      </c>
      <c r="O618" t="s">
        <v>847</v>
      </c>
      <c r="P618">
        <v>0.34499999999999997</v>
      </c>
    </row>
    <row r="619" spans="1:16" x14ac:dyDescent="0.35">
      <c r="A619" s="5" t="str">
        <f>HYPERLINK("https://tienda.tarracoimportexport.com/index.php?id_product=8925&amp;controller=product&amp;id_lang=4", "TR010014")</f>
        <v>TR010014</v>
      </c>
      <c r="B619" t="s">
        <v>2143</v>
      </c>
      <c r="D619" s="4">
        <v>4800</v>
      </c>
      <c r="E619" t="s">
        <v>2144</v>
      </c>
      <c r="F619" t="s">
        <v>16</v>
      </c>
      <c r="G619" t="s">
        <v>140</v>
      </c>
      <c r="H619">
        <v>20</v>
      </c>
      <c r="I619">
        <v>16000</v>
      </c>
      <c r="J619" t="s">
        <v>911</v>
      </c>
      <c r="K619" s="17">
        <v>0.11</v>
      </c>
      <c r="L619" s="3">
        <f t="shared" si="9"/>
        <v>0</v>
      </c>
      <c r="N619" t="s">
        <v>2145</v>
      </c>
      <c r="O619" t="s">
        <v>847</v>
      </c>
      <c r="P619">
        <v>0.85</v>
      </c>
    </row>
    <row r="620" spans="1:16" x14ac:dyDescent="0.35">
      <c r="A620" s="5" t="str">
        <f>HYPERLINK("https://tienda.tarracoimportexport.com/index.php?id_product=8924&amp;controller=product&amp;id_lang=4", "TR010013")</f>
        <v>TR010013</v>
      </c>
      <c r="B620" t="s">
        <v>2146</v>
      </c>
      <c r="D620" s="4">
        <v>6000</v>
      </c>
      <c r="E620" t="s">
        <v>2147</v>
      </c>
      <c r="F620" t="s">
        <v>16</v>
      </c>
      <c r="G620" t="s">
        <v>140</v>
      </c>
      <c r="H620">
        <v>20</v>
      </c>
      <c r="I620">
        <v>16000</v>
      </c>
      <c r="J620" t="s">
        <v>911</v>
      </c>
      <c r="K620" s="17">
        <v>0.11</v>
      </c>
      <c r="L620" s="3">
        <f t="shared" si="9"/>
        <v>0</v>
      </c>
      <c r="N620" t="s">
        <v>2148</v>
      </c>
      <c r="O620" t="s">
        <v>847</v>
      </c>
      <c r="P620">
        <v>0.84</v>
      </c>
    </row>
    <row r="621" spans="1:16" x14ac:dyDescent="0.35">
      <c r="A621" s="5" t="str">
        <f>HYPERLINK("https://tienda.tarracoimportexport.com/index.php?id_product=8926&amp;controller=product&amp;id_lang=4", "TR010015")</f>
        <v>TR010015</v>
      </c>
      <c r="B621" t="s">
        <v>2149</v>
      </c>
      <c r="D621" s="4">
        <v>4160</v>
      </c>
      <c r="E621" t="s">
        <v>2150</v>
      </c>
      <c r="F621" t="s">
        <v>16</v>
      </c>
      <c r="G621" t="s">
        <v>140</v>
      </c>
      <c r="H621">
        <v>20</v>
      </c>
      <c r="I621">
        <v>16000</v>
      </c>
      <c r="J621" t="s">
        <v>911</v>
      </c>
      <c r="K621" s="17">
        <v>0.11</v>
      </c>
      <c r="L621" s="3">
        <f t="shared" si="9"/>
        <v>0</v>
      </c>
      <c r="N621" t="s">
        <v>2151</v>
      </c>
      <c r="O621" t="s">
        <v>847</v>
      </c>
      <c r="P621">
        <v>0.84</v>
      </c>
    </row>
    <row r="622" spans="1:16" x14ac:dyDescent="0.35">
      <c r="A622" s="5" t="str">
        <f>HYPERLINK("https://tienda.tarracoimportexport.com/index.php?id_product=8916&amp;controller=product&amp;id_lang=4", "TR010005")</f>
        <v>TR010005</v>
      </c>
      <c r="B622" t="s">
        <v>2152</v>
      </c>
      <c r="D622" s="4">
        <v>4450</v>
      </c>
      <c r="E622" t="s">
        <v>2153</v>
      </c>
      <c r="F622" t="s">
        <v>16</v>
      </c>
      <c r="G622" t="s">
        <v>27</v>
      </c>
      <c r="H622">
        <v>44</v>
      </c>
      <c r="I622">
        <v>7920</v>
      </c>
      <c r="J622" t="s">
        <v>2154</v>
      </c>
      <c r="K622" s="17">
        <v>0.11</v>
      </c>
      <c r="L622" s="3">
        <f t="shared" si="9"/>
        <v>0</v>
      </c>
      <c r="N622" t="s">
        <v>2155</v>
      </c>
      <c r="O622" t="s">
        <v>847</v>
      </c>
      <c r="P622">
        <v>0.26</v>
      </c>
    </row>
    <row r="623" spans="1:16" x14ac:dyDescent="0.35">
      <c r="A623" s="5" t="str">
        <f>HYPERLINK("https://tienda.tarracoimportexport.com/index.php?id_product=8913&amp;controller=product&amp;id_lang=4", "TR010001")</f>
        <v>TR010001</v>
      </c>
      <c r="B623" t="s">
        <v>2156</v>
      </c>
      <c r="D623" s="4">
        <v>7568</v>
      </c>
      <c r="E623" t="s">
        <v>2157</v>
      </c>
      <c r="F623" t="s">
        <v>16</v>
      </c>
      <c r="G623" t="s">
        <v>62</v>
      </c>
      <c r="H623">
        <v>66</v>
      </c>
      <c r="I623">
        <v>7392</v>
      </c>
      <c r="J623" t="s">
        <v>845</v>
      </c>
      <c r="K623" s="17">
        <v>0.11</v>
      </c>
      <c r="L623" s="3">
        <f t="shared" si="9"/>
        <v>0</v>
      </c>
      <c r="N623" t="s">
        <v>2158</v>
      </c>
      <c r="O623" t="s">
        <v>847</v>
      </c>
      <c r="P623">
        <v>0.23</v>
      </c>
    </row>
    <row r="624" spans="1:16" x14ac:dyDescent="0.35">
      <c r="A624" s="5" t="str">
        <f>HYPERLINK("https://tienda.tarracoimportexport.com/index.php?id_product=10104&amp;controller=product&amp;id_lang=4", "TR011143")</f>
        <v>TR011143</v>
      </c>
      <c r="B624" t="s">
        <v>2159</v>
      </c>
      <c r="D624" s="4">
        <v>472</v>
      </c>
      <c r="E624" t="s">
        <v>2160</v>
      </c>
      <c r="F624" t="s">
        <v>16</v>
      </c>
      <c r="G624" t="s">
        <v>242</v>
      </c>
      <c r="H624">
        <v>12</v>
      </c>
      <c r="I624">
        <v>240</v>
      </c>
      <c r="J624" t="s">
        <v>516</v>
      </c>
      <c r="K624" s="17">
        <v>4.99</v>
      </c>
      <c r="L624" s="3">
        <f t="shared" si="9"/>
        <v>0</v>
      </c>
      <c r="N624" t="s">
        <v>2161</v>
      </c>
      <c r="O624" t="s">
        <v>2162</v>
      </c>
      <c r="P624">
        <v>2.9649999999999999</v>
      </c>
    </row>
    <row r="625" spans="1:16" x14ac:dyDescent="0.35">
      <c r="A625" s="5" t="str">
        <f>HYPERLINK("https://tienda.tarracoimportexport.com/index.php?id_product=9314&amp;controller=product&amp;id_lang=4", "TR010387")</f>
        <v>TR010387</v>
      </c>
      <c r="B625" t="s">
        <v>2163</v>
      </c>
      <c r="D625" s="4">
        <v>10560</v>
      </c>
      <c r="E625" t="s">
        <v>2164</v>
      </c>
      <c r="F625" t="s">
        <v>16</v>
      </c>
      <c r="G625" t="s">
        <v>50</v>
      </c>
      <c r="H625">
        <v>19</v>
      </c>
      <c r="I625">
        <v>1368</v>
      </c>
      <c r="J625" t="s">
        <v>352</v>
      </c>
      <c r="K625" s="17">
        <v>1.32</v>
      </c>
      <c r="L625" s="3">
        <f t="shared" si="9"/>
        <v>0</v>
      </c>
      <c r="N625" t="s">
        <v>2165</v>
      </c>
      <c r="O625" t="s">
        <v>354</v>
      </c>
      <c r="P625">
        <v>6.9749999999999996</v>
      </c>
    </row>
    <row r="626" spans="1:16" x14ac:dyDescent="0.35">
      <c r="A626" s="5" t="str">
        <f>HYPERLINK("https://tienda.tarracoimportexport.com/index.php?id_product=10112&amp;controller=product&amp;id_lang=4", "TR011151")</f>
        <v>TR011151</v>
      </c>
      <c r="B626" t="s">
        <v>2166</v>
      </c>
      <c r="D626" s="4">
        <v>9870</v>
      </c>
      <c r="E626" t="s">
        <v>2167</v>
      </c>
      <c r="F626" t="s">
        <v>16</v>
      </c>
      <c r="G626" t="s">
        <v>39</v>
      </c>
      <c r="H626">
        <v>22</v>
      </c>
      <c r="I626">
        <v>924</v>
      </c>
      <c r="J626" t="s">
        <v>2168</v>
      </c>
      <c r="K626" s="17">
        <v>1.4</v>
      </c>
      <c r="L626" s="3">
        <f t="shared" si="9"/>
        <v>0</v>
      </c>
      <c r="N626" t="s">
        <v>2169</v>
      </c>
      <c r="O626" t="s">
        <v>1134</v>
      </c>
      <c r="P626">
        <v>2.85</v>
      </c>
    </row>
    <row r="627" spans="1:16" x14ac:dyDescent="0.35">
      <c r="A627" s="5" t="str">
        <f>HYPERLINK("https://tienda.tarracoimportexport.com/index.php?id_product=9777&amp;controller=product&amp;id_lang=4", "TR010825")</f>
        <v>TR010825</v>
      </c>
      <c r="B627" t="s">
        <v>2170</v>
      </c>
      <c r="D627" s="4">
        <v>5490</v>
      </c>
      <c r="E627" t="s">
        <v>2171</v>
      </c>
      <c r="F627" t="s">
        <v>16</v>
      </c>
      <c r="G627" t="s">
        <v>362</v>
      </c>
      <c r="H627">
        <v>12</v>
      </c>
      <c r="I627">
        <v>1800</v>
      </c>
      <c r="J627" t="s">
        <v>516</v>
      </c>
      <c r="K627" s="17">
        <v>0.49</v>
      </c>
      <c r="L627" s="3">
        <f t="shared" si="9"/>
        <v>0</v>
      </c>
      <c r="N627" t="s">
        <v>2172</v>
      </c>
      <c r="O627" t="s">
        <v>2173</v>
      </c>
      <c r="P627">
        <v>4.2699999999999996</v>
      </c>
    </row>
    <row r="628" spans="1:16" x14ac:dyDescent="0.35">
      <c r="A628" s="5" t="str">
        <f>HYPERLINK("https://tienda.tarracoimportexport.com/index.php?id_product=9734&amp;controller=product&amp;id_lang=4", "TR010784")</f>
        <v>TR010784</v>
      </c>
      <c r="B628" t="s">
        <v>2174</v>
      </c>
      <c r="D628" s="4">
        <v>14400</v>
      </c>
      <c r="E628" t="s">
        <v>2175</v>
      </c>
      <c r="F628" t="s">
        <v>16</v>
      </c>
      <c r="G628" t="s">
        <v>362</v>
      </c>
      <c r="H628">
        <v>12</v>
      </c>
      <c r="I628">
        <v>1800</v>
      </c>
      <c r="J628" t="s">
        <v>516</v>
      </c>
      <c r="K628" s="17">
        <v>0.49</v>
      </c>
      <c r="L628" s="3">
        <f t="shared" ref="L628:L691" si="10">K628*C628</f>
        <v>0</v>
      </c>
      <c r="N628" t="s">
        <v>2176</v>
      </c>
      <c r="O628" t="s">
        <v>2177</v>
      </c>
      <c r="P628">
        <v>3.86</v>
      </c>
    </row>
    <row r="629" spans="1:16" x14ac:dyDescent="0.35">
      <c r="A629" s="5" t="str">
        <f>HYPERLINK("https://tienda.tarracoimportexport.com/index.php?id_product=9878&amp;controller=product&amp;id_lang=4", "TR010924")</f>
        <v>TR010924</v>
      </c>
      <c r="B629" t="s">
        <v>2178</v>
      </c>
      <c r="D629" s="4">
        <v>14250</v>
      </c>
      <c r="E629" t="s">
        <v>2179</v>
      </c>
      <c r="F629" t="s">
        <v>16</v>
      </c>
      <c r="G629" t="s">
        <v>362</v>
      </c>
      <c r="H629">
        <v>12</v>
      </c>
      <c r="I629">
        <v>1800</v>
      </c>
      <c r="J629" t="s">
        <v>516</v>
      </c>
      <c r="K629" s="17">
        <v>0.49</v>
      </c>
      <c r="L629" s="3">
        <f t="shared" si="10"/>
        <v>0</v>
      </c>
      <c r="N629" t="s">
        <v>2180</v>
      </c>
      <c r="O629" t="s">
        <v>2177</v>
      </c>
      <c r="P629">
        <v>4.4000000000000004</v>
      </c>
    </row>
    <row r="630" spans="1:16" x14ac:dyDescent="0.35">
      <c r="A630" s="5" t="str">
        <f>HYPERLINK("https://tienda.tarracoimportexport.com/index.php?id_product=7186&amp;controller=product&amp;id_lang=4", "TR008275")</f>
        <v>TR008275</v>
      </c>
      <c r="B630" t="s">
        <v>2181</v>
      </c>
      <c r="D630" s="4">
        <v>360</v>
      </c>
      <c r="E630" t="s">
        <v>2182</v>
      </c>
      <c r="F630" t="s">
        <v>16</v>
      </c>
      <c r="G630" t="s">
        <v>516</v>
      </c>
      <c r="H630">
        <v>1</v>
      </c>
      <c r="I630">
        <v>3120</v>
      </c>
      <c r="J630" t="s">
        <v>2183</v>
      </c>
      <c r="K630" s="17">
        <v>0.49</v>
      </c>
      <c r="L630" s="3">
        <f t="shared" si="10"/>
        <v>0</v>
      </c>
      <c r="N630" t="s">
        <v>2184</v>
      </c>
      <c r="O630" t="s">
        <v>2185</v>
      </c>
      <c r="P630">
        <v>8.3699999999999992</v>
      </c>
    </row>
    <row r="631" spans="1:16" x14ac:dyDescent="0.35">
      <c r="A631" s="5" t="str">
        <f>HYPERLINK("https://tienda.tarracoimportexport.com/index.php?id_product=9760&amp;controller=product&amp;id_lang=4", "TR010808")</f>
        <v>TR010808</v>
      </c>
      <c r="B631" t="s">
        <v>2186</v>
      </c>
      <c r="D631" s="4">
        <v>5130</v>
      </c>
      <c r="E631" t="s">
        <v>2187</v>
      </c>
      <c r="F631" t="s">
        <v>16</v>
      </c>
      <c r="G631" t="s">
        <v>362</v>
      </c>
      <c r="H631">
        <v>12</v>
      </c>
      <c r="I631">
        <v>1800</v>
      </c>
      <c r="J631" t="s">
        <v>516</v>
      </c>
      <c r="K631" s="17">
        <v>0.49</v>
      </c>
      <c r="L631" s="3">
        <f t="shared" si="10"/>
        <v>0</v>
      </c>
      <c r="N631" t="s">
        <v>2188</v>
      </c>
      <c r="O631" t="s">
        <v>2177</v>
      </c>
      <c r="P631">
        <v>3.895</v>
      </c>
    </row>
    <row r="632" spans="1:16" x14ac:dyDescent="0.35">
      <c r="A632" s="5" t="str">
        <f>HYPERLINK("https://tienda.tarracoimportexport.com/index.php?id_product=9877&amp;controller=product&amp;id_lang=4", "TR010923")</f>
        <v>TR010923</v>
      </c>
      <c r="B632" t="s">
        <v>2189</v>
      </c>
      <c r="D632" s="4">
        <v>9840</v>
      </c>
      <c r="E632" t="s">
        <v>2190</v>
      </c>
      <c r="F632" t="s">
        <v>16</v>
      </c>
      <c r="G632" t="s">
        <v>362</v>
      </c>
      <c r="H632">
        <v>12</v>
      </c>
      <c r="I632">
        <v>1800</v>
      </c>
      <c r="J632" t="s">
        <v>516</v>
      </c>
      <c r="K632" s="17">
        <v>0.49</v>
      </c>
      <c r="L632" s="3">
        <f t="shared" si="10"/>
        <v>0</v>
      </c>
      <c r="N632" t="s">
        <v>2191</v>
      </c>
      <c r="O632" t="s">
        <v>2177</v>
      </c>
      <c r="P632">
        <v>4.4000000000000004</v>
      </c>
    </row>
    <row r="633" spans="1:16" x14ac:dyDescent="0.35">
      <c r="A633" s="5" t="str">
        <f>HYPERLINK("https://tienda.tarracoimportexport.com/index.php?id_product=8717&amp;controller=product&amp;id_lang=4", "TR009836")</f>
        <v>TR009836</v>
      </c>
      <c r="B633" t="s">
        <v>2192</v>
      </c>
      <c r="D633" s="4">
        <v>34974</v>
      </c>
      <c r="E633" t="s">
        <v>2193</v>
      </c>
      <c r="F633" t="s">
        <v>16</v>
      </c>
      <c r="G633" t="s">
        <v>39</v>
      </c>
      <c r="H633">
        <v>38</v>
      </c>
      <c r="I633">
        <v>2052</v>
      </c>
      <c r="J633" t="s">
        <v>2194</v>
      </c>
      <c r="K633" s="17">
        <v>0.3</v>
      </c>
      <c r="L633" s="3">
        <f t="shared" si="10"/>
        <v>0</v>
      </c>
      <c r="N633" t="s">
        <v>2195</v>
      </c>
      <c r="O633" t="s">
        <v>30</v>
      </c>
      <c r="P633">
        <v>1.77</v>
      </c>
    </row>
    <row r="634" spans="1:16" x14ac:dyDescent="0.35">
      <c r="A634" s="5" t="str">
        <f>HYPERLINK("https://tienda.tarracoimportexport.com/index.php?id_product=10343&amp;controller=product&amp;id_lang=4", "TR011345")</f>
        <v>TR011345</v>
      </c>
      <c r="B634" t="s">
        <v>2196</v>
      </c>
      <c r="D634" s="4">
        <v>1836</v>
      </c>
      <c r="E634" t="s">
        <v>2197</v>
      </c>
      <c r="F634" t="s">
        <v>1647</v>
      </c>
      <c r="G634" t="s">
        <v>50</v>
      </c>
      <c r="H634">
        <v>21</v>
      </c>
      <c r="I634">
        <v>2016</v>
      </c>
      <c r="J634" t="s">
        <v>363</v>
      </c>
      <c r="K634" s="17">
        <v>2.4300000000000002</v>
      </c>
      <c r="L634" s="3">
        <f t="shared" si="10"/>
        <v>0</v>
      </c>
      <c r="N634" t="s">
        <v>2198</v>
      </c>
      <c r="O634" t="s">
        <v>2199</v>
      </c>
      <c r="P634">
        <v>10.62</v>
      </c>
    </row>
    <row r="635" spans="1:16" x14ac:dyDescent="0.35">
      <c r="A635" s="5" t="str">
        <f>HYPERLINK("https://tienda.tarracoimportexport.com/index.php?id_product=10346&amp;controller=product&amp;id_lang=4", "TR011348")</f>
        <v>TR011348</v>
      </c>
      <c r="B635" t="s">
        <v>2200</v>
      </c>
      <c r="D635" s="4">
        <v>312</v>
      </c>
      <c r="E635" t="s">
        <v>2201</v>
      </c>
      <c r="F635" t="s">
        <v>718</v>
      </c>
      <c r="G635" t="s">
        <v>106</v>
      </c>
      <c r="H635">
        <v>10</v>
      </c>
      <c r="I635">
        <v>1680</v>
      </c>
      <c r="J635" t="s">
        <v>192</v>
      </c>
      <c r="K635" s="17">
        <v>2.4300000000000002</v>
      </c>
      <c r="L635" s="3">
        <f t="shared" si="10"/>
        <v>0</v>
      </c>
      <c r="N635" t="s">
        <v>2202</v>
      </c>
      <c r="O635" t="s">
        <v>2199</v>
      </c>
      <c r="P635">
        <v>10.5</v>
      </c>
    </row>
    <row r="636" spans="1:16" x14ac:dyDescent="0.35">
      <c r="A636" s="5" t="str">
        <f>HYPERLINK("https://tienda.tarracoimportexport.com/index.php?id_product=10344&amp;controller=product&amp;id_lang=4", "TR011346")</f>
        <v>TR011346</v>
      </c>
      <c r="B636" t="s">
        <v>2203</v>
      </c>
      <c r="D636" s="4">
        <v>240</v>
      </c>
      <c r="E636" t="s">
        <v>2204</v>
      </c>
      <c r="F636" t="s">
        <v>115</v>
      </c>
      <c r="G636" t="s">
        <v>106</v>
      </c>
      <c r="H636">
        <v>10</v>
      </c>
      <c r="I636">
        <v>1680</v>
      </c>
      <c r="J636" t="s">
        <v>192</v>
      </c>
      <c r="K636" s="17">
        <v>2.4300000000000002</v>
      </c>
      <c r="L636" s="3">
        <f t="shared" si="10"/>
        <v>0</v>
      </c>
      <c r="N636" t="s">
        <v>2205</v>
      </c>
      <c r="O636" t="s">
        <v>2206</v>
      </c>
      <c r="P636">
        <v>10.6</v>
      </c>
    </row>
    <row r="637" spans="1:16" x14ac:dyDescent="0.35">
      <c r="A637" s="5" t="str">
        <f>HYPERLINK("https://tienda.tarracoimportexport.com/index.php?id_product=10345&amp;controller=product&amp;id_lang=4", "TR011347")</f>
        <v>TR011347</v>
      </c>
      <c r="B637" t="s">
        <v>2207</v>
      </c>
      <c r="D637" s="4">
        <v>3360</v>
      </c>
      <c r="E637" t="s">
        <v>2208</v>
      </c>
      <c r="F637" t="s">
        <v>1995</v>
      </c>
      <c r="G637" t="s">
        <v>106</v>
      </c>
      <c r="H637">
        <v>10</v>
      </c>
      <c r="I637">
        <v>1680</v>
      </c>
      <c r="J637" t="s">
        <v>192</v>
      </c>
      <c r="K637" s="17">
        <v>2.4300000000000002</v>
      </c>
      <c r="L637" s="3">
        <f t="shared" si="10"/>
        <v>0</v>
      </c>
      <c r="N637" t="s">
        <v>2209</v>
      </c>
      <c r="O637" t="s">
        <v>2199</v>
      </c>
      <c r="P637">
        <v>10.6</v>
      </c>
    </row>
    <row r="638" spans="1:16" x14ac:dyDescent="0.35">
      <c r="A638" s="5" t="str">
        <f>HYPERLINK("https://tienda.tarracoimportexport.com/index.php?id_product=10341&amp;controller=product&amp;id_lang=4", "TR011343")</f>
        <v>TR011343</v>
      </c>
      <c r="B638" t="s">
        <v>2210</v>
      </c>
      <c r="D638" s="4">
        <v>120</v>
      </c>
      <c r="E638" t="s">
        <v>2211</v>
      </c>
      <c r="F638" t="s">
        <v>1109</v>
      </c>
      <c r="G638" t="s">
        <v>106</v>
      </c>
      <c r="H638">
        <v>10</v>
      </c>
      <c r="I638">
        <v>1680</v>
      </c>
      <c r="J638" t="s">
        <v>192</v>
      </c>
      <c r="K638" s="17">
        <v>2.4300000000000002</v>
      </c>
      <c r="L638" s="3">
        <f t="shared" si="10"/>
        <v>0</v>
      </c>
      <c r="N638" t="s">
        <v>2212</v>
      </c>
      <c r="O638" t="s">
        <v>2199</v>
      </c>
      <c r="P638">
        <v>10.74</v>
      </c>
    </row>
    <row r="639" spans="1:16" x14ac:dyDescent="0.35">
      <c r="A639" s="5" t="str">
        <f>HYPERLINK("https://tienda.tarracoimportexport.com/index.php?id_product=10990&amp;controller=product&amp;id_lang=4", "TR011930")</f>
        <v>TR011930</v>
      </c>
      <c r="B639" t="s">
        <v>2210</v>
      </c>
      <c r="D639" s="4">
        <v>1932</v>
      </c>
      <c r="E639" t="s">
        <v>2211</v>
      </c>
      <c r="F639" t="s">
        <v>1647</v>
      </c>
      <c r="G639" t="s">
        <v>50</v>
      </c>
      <c r="H639">
        <v>10</v>
      </c>
      <c r="I639">
        <v>840</v>
      </c>
      <c r="J639" t="s">
        <v>192</v>
      </c>
      <c r="K639" s="17">
        <v>2.4300000000000002</v>
      </c>
      <c r="L639" s="3">
        <f t="shared" si="10"/>
        <v>0</v>
      </c>
      <c r="N639" t="s">
        <v>2213</v>
      </c>
      <c r="O639" t="s">
        <v>2199</v>
      </c>
      <c r="P639">
        <v>10.74</v>
      </c>
    </row>
    <row r="640" spans="1:16" x14ac:dyDescent="0.35">
      <c r="A640" s="5" t="str">
        <f>HYPERLINK("https://tienda.tarracoimportexport.com/index.php?id_product=10342&amp;controller=product&amp;id_lang=4", "TR011344")</f>
        <v>TR011344</v>
      </c>
      <c r="B640" t="s">
        <v>2214</v>
      </c>
      <c r="D640" s="4">
        <v>1860</v>
      </c>
      <c r="E640" t="s">
        <v>2215</v>
      </c>
      <c r="F640" t="s">
        <v>1647</v>
      </c>
      <c r="G640" t="s">
        <v>50</v>
      </c>
      <c r="H640">
        <v>21</v>
      </c>
      <c r="I640">
        <v>1980</v>
      </c>
      <c r="J640" t="s">
        <v>472</v>
      </c>
      <c r="K640" s="17">
        <v>2.4300000000000002</v>
      </c>
      <c r="L640" s="3">
        <f t="shared" si="10"/>
        <v>0</v>
      </c>
      <c r="N640" t="s">
        <v>2216</v>
      </c>
      <c r="O640" t="s">
        <v>2199</v>
      </c>
      <c r="P640">
        <v>10.6</v>
      </c>
    </row>
    <row r="641" spans="1:16" x14ac:dyDescent="0.35">
      <c r="A641" s="5" t="str">
        <f>HYPERLINK("https://tienda.tarracoimportexport.com/index.php?id_product=10196&amp;controller=product&amp;id_lang=4", "TR011230")</f>
        <v>TR011230</v>
      </c>
      <c r="B641" t="s">
        <v>2217</v>
      </c>
      <c r="D641" s="4">
        <v>27648</v>
      </c>
      <c r="E641" t="s">
        <v>2218</v>
      </c>
      <c r="F641" t="s">
        <v>164</v>
      </c>
      <c r="G641" t="s">
        <v>202</v>
      </c>
      <c r="H641">
        <v>8</v>
      </c>
      <c r="I641">
        <v>3072</v>
      </c>
      <c r="J641" t="s">
        <v>388</v>
      </c>
      <c r="K641" s="17">
        <v>1.45</v>
      </c>
      <c r="L641" s="3">
        <f t="shared" si="10"/>
        <v>0</v>
      </c>
      <c r="N641" t="s">
        <v>2219</v>
      </c>
      <c r="O641" t="s">
        <v>2220</v>
      </c>
      <c r="P641">
        <v>10.58</v>
      </c>
    </row>
    <row r="642" spans="1:16" x14ac:dyDescent="0.35">
      <c r="A642" s="5" t="str">
        <f>HYPERLINK("https://tienda.tarracoimportexport.com/index.php?id_product=10197&amp;controller=product&amp;id_lang=4", "TR011231")</f>
        <v>TR011231</v>
      </c>
      <c r="B642" t="s">
        <v>2221</v>
      </c>
      <c r="D642" s="4">
        <v>4944</v>
      </c>
      <c r="E642" t="s">
        <v>2222</v>
      </c>
      <c r="F642" t="s">
        <v>115</v>
      </c>
      <c r="G642" t="s">
        <v>202</v>
      </c>
      <c r="H642">
        <v>8</v>
      </c>
      <c r="I642">
        <v>2688</v>
      </c>
      <c r="J642" t="s">
        <v>539</v>
      </c>
      <c r="K642" s="17">
        <v>1.45</v>
      </c>
      <c r="L642" s="3">
        <f t="shared" si="10"/>
        <v>0</v>
      </c>
      <c r="N642" t="s">
        <v>2223</v>
      </c>
      <c r="O642" t="s">
        <v>2220</v>
      </c>
      <c r="P642">
        <v>9.99</v>
      </c>
    </row>
    <row r="643" spans="1:16" x14ac:dyDescent="0.35">
      <c r="A643" s="5" t="str">
        <f>HYPERLINK("https://tienda.tarracoimportexport.com/index.php?id_product=10200&amp;controller=product&amp;id_lang=4", "TR011232")</f>
        <v>TR011232</v>
      </c>
      <c r="B643" t="s">
        <v>2224</v>
      </c>
      <c r="D643" s="4">
        <v>6144</v>
      </c>
      <c r="E643" t="s">
        <v>2225</v>
      </c>
      <c r="F643" t="s">
        <v>115</v>
      </c>
      <c r="G643" t="s">
        <v>202</v>
      </c>
      <c r="H643">
        <v>8</v>
      </c>
      <c r="I643">
        <v>2688</v>
      </c>
      <c r="J643" t="s">
        <v>539</v>
      </c>
      <c r="K643" s="17">
        <v>1.45</v>
      </c>
      <c r="L643" s="3">
        <f t="shared" si="10"/>
        <v>0</v>
      </c>
      <c r="N643" t="s">
        <v>2226</v>
      </c>
      <c r="O643" t="s">
        <v>2227</v>
      </c>
      <c r="P643">
        <v>9.9</v>
      </c>
    </row>
    <row r="644" spans="1:16" x14ac:dyDescent="0.35">
      <c r="A644" s="5" t="str">
        <f>HYPERLINK("https://tienda.tarracoimportexport.com/index.php?id_product=10202&amp;controller=product&amp;id_lang=4", "TR011234")</f>
        <v>TR011234</v>
      </c>
      <c r="B644" t="s">
        <v>2228</v>
      </c>
      <c r="D644" s="4">
        <v>11952</v>
      </c>
      <c r="E644" t="s">
        <v>2229</v>
      </c>
      <c r="F644" t="s">
        <v>115</v>
      </c>
      <c r="G644" t="s">
        <v>202</v>
      </c>
      <c r="H644">
        <v>8</v>
      </c>
      <c r="I644">
        <v>2688</v>
      </c>
      <c r="J644" t="s">
        <v>539</v>
      </c>
      <c r="K644" s="17">
        <v>1.45</v>
      </c>
      <c r="L644" s="3">
        <f t="shared" si="10"/>
        <v>0</v>
      </c>
      <c r="N644" t="s">
        <v>2230</v>
      </c>
      <c r="O644" t="s">
        <v>2220</v>
      </c>
      <c r="P644">
        <v>10.35</v>
      </c>
    </row>
    <row r="645" spans="1:16" x14ac:dyDescent="0.35">
      <c r="A645" s="5" t="str">
        <f>HYPERLINK("https://tienda.tarracoimportexport.com/index.php?id_product=10206&amp;controller=product&amp;id_lang=4", "TR011238")</f>
        <v>TR011238</v>
      </c>
      <c r="B645" t="s">
        <v>2231</v>
      </c>
      <c r="D645" s="4">
        <v>9840</v>
      </c>
      <c r="E645" t="s">
        <v>2232</v>
      </c>
      <c r="F645" t="s">
        <v>718</v>
      </c>
      <c r="G645" t="s">
        <v>202</v>
      </c>
      <c r="H645">
        <v>8</v>
      </c>
      <c r="I645">
        <v>2688</v>
      </c>
      <c r="J645" t="s">
        <v>539</v>
      </c>
      <c r="K645" s="17">
        <v>1.45</v>
      </c>
      <c r="L645" s="3">
        <f t="shared" si="10"/>
        <v>0</v>
      </c>
      <c r="N645" t="s">
        <v>2233</v>
      </c>
      <c r="O645" t="s">
        <v>2227</v>
      </c>
      <c r="P645">
        <v>10.69</v>
      </c>
    </row>
    <row r="646" spans="1:16" x14ac:dyDescent="0.35">
      <c r="A646" s="5" t="str">
        <f>HYPERLINK("https://tienda.tarracoimportexport.com/index.php?id_product=10201&amp;controller=product&amp;id_lang=4", "TR011233")</f>
        <v>TR011233</v>
      </c>
      <c r="B646" t="s">
        <v>2234</v>
      </c>
      <c r="D646" s="4">
        <v>8208</v>
      </c>
      <c r="E646" t="s">
        <v>2235</v>
      </c>
      <c r="F646" t="s">
        <v>853</v>
      </c>
      <c r="G646" t="s">
        <v>202</v>
      </c>
      <c r="H646">
        <v>8</v>
      </c>
      <c r="I646">
        <v>2688</v>
      </c>
      <c r="J646" t="s">
        <v>539</v>
      </c>
      <c r="K646" s="17">
        <v>1.45</v>
      </c>
      <c r="L646" s="3">
        <f t="shared" si="10"/>
        <v>0</v>
      </c>
      <c r="N646" t="s">
        <v>2236</v>
      </c>
      <c r="O646" t="s">
        <v>2237</v>
      </c>
      <c r="P646">
        <v>10.3</v>
      </c>
    </row>
    <row r="647" spans="1:16" x14ac:dyDescent="0.35">
      <c r="A647" s="5" t="str">
        <f>HYPERLINK("https://tienda.tarracoimportexport.com/index.php?id_product=10413&amp;controller=product&amp;id_lang=4", "TR011404")</f>
        <v>TR011404</v>
      </c>
      <c r="B647" t="s">
        <v>2238</v>
      </c>
      <c r="D647" s="4">
        <v>10080</v>
      </c>
      <c r="E647" t="s">
        <v>2239</v>
      </c>
      <c r="F647" t="s">
        <v>164</v>
      </c>
      <c r="G647" t="s">
        <v>50</v>
      </c>
      <c r="H647">
        <v>14</v>
      </c>
      <c r="I647">
        <v>2520</v>
      </c>
      <c r="J647" t="s">
        <v>945</v>
      </c>
      <c r="K647" s="17">
        <v>0.78</v>
      </c>
      <c r="L647" s="3">
        <f t="shared" si="10"/>
        <v>0</v>
      </c>
      <c r="N647" t="s">
        <v>2240</v>
      </c>
      <c r="O647" t="s">
        <v>2227</v>
      </c>
      <c r="P647">
        <v>0.91</v>
      </c>
    </row>
    <row r="648" spans="1:16" x14ac:dyDescent="0.35">
      <c r="A648" s="5" t="str">
        <f>HYPERLINK("https://tienda.tarracoimportexport.com/index.php?id_product=10217&amp;controller=product&amp;id_lang=4", "TR011249")</f>
        <v>TR011249</v>
      </c>
      <c r="B648" t="s">
        <v>2241</v>
      </c>
      <c r="D648" s="4">
        <v>9744</v>
      </c>
      <c r="E648" t="s">
        <v>2242</v>
      </c>
      <c r="F648" t="s">
        <v>757</v>
      </c>
      <c r="G648" t="s">
        <v>202</v>
      </c>
      <c r="H648">
        <v>16</v>
      </c>
      <c r="I648">
        <v>8448</v>
      </c>
      <c r="J648" t="s">
        <v>1448</v>
      </c>
      <c r="K648" s="17">
        <v>0.78</v>
      </c>
      <c r="L648" s="3">
        <f t="shared" si="10"/>
        <v>0</v>
      </c>
      <c r="N648" t="s">
        <v>2243</v>
      </c>
      <c r="O648" t="s">
        <v>2220</v>
      </c>
      <c r="P648">
        <v>3.45</v>
      </c>
    </row>
    <row r="649" spans="1:16" x14ac:dyDescent="0.35">
      <c r="A649" s="5" t="str">
        <f>HYPERLINK("https://tienda.tarracoimportexport.com/index.php?id_product=10359&amp;controller=product&amp;id_lang=4", "TR011357")</f>
        <v>TR011357</v>
      </c>
      <c r="B649" t="s">
        <v>2244</v>
      </c>
      <c r="D649" s="4">
        <v>1176</v>
      </c>
      <c r="E649" t="s">
        <v>2245</v>
      </c>
      <c r="F649" t="s">
        <v>115</v>
      </c>
      <c r="G649" t="s">
        <v>106</v>
      </c>
      <c r="H649">
        <v>11</v>
      </c>
      <c r="I649">
        <v>2904</v>
      </c>
      <c r="J649" t="s">
        <v>2246</v>
      </c>
      <c r="K649" s="17">
        <v>3.71</v>
      </c>
      <c r="L649" s="3">
        <f t="shared" si="10"/>
        <v>0</v>
      </c>
      <c r="N649" t="s">
        <v>2247</v>
      </c>
      <c r="O649" t="s">
        <v>2248</v>
      </c>
      <c r="P649">
        <v>2.62</v>
      </c>
    </row>
    <row r="650" spans="1:16" x14ac:dyDescent="0.35">
      <c r="A650" s="5" t="str">
        <f>HYPERLINK("https://tienda.tarracoimportexport.com/index.php?id_product=10360&amp;controller=product&amp;id_lang=4", "TR011358")</f>
        <v>TR011358</v>
      </c>
      <c r="B650" t="s">
        <v>2249</v>
      </c>
      <c r="D650" s="4">
        <v>1200</v>
      </c>
      <c r="E650" t="s">
        <v>2250</v>
      </c>
      <c r="F650" t="s">
        <v>105</v>
      </c>
      <c r="G650" t="s">
        <v>106</v>
      </c>
      <c r="H650">
        <v>11</v>
      </c>
      <c r="I650">
        <v>2904</v>
      </c>
      <c r="J650" t="s">
        <v>2246</v>
      </c>
      <c r="K650" s="17">
        <v>3.71</v>
      </c>
      <c r="L650" s="3">
        <f t="shared" si="10"/>
        <v>0</v>
      </c>
      <c r="N650" t="s">
        <v>2251</v>
      </c>
      <c r="O650" t="s">
        <v>2248</v>
      </c>
      <c r="P650">
        <v>2.65</v>
      </c>
    </row>
    <row r="651" spans="1:16" x14ac:dyDescent="0.35">
      <c r="A651" s="5" t="str">
        <f>HYPERLINK("https://tienda.tarracoimportexport.com/index.php?id_product=10362&amp;controller=product&amp;id_lang=4", "TR011360")</f>
        <v>TR011360</v>
      </c>
      <c r="B651" t="s">
        <v>2252</v>
      </c>
      <c r="D651" s="4">
        <v>1320</v>
      </c>
      <c r="E651" t="s">
        <v>2253</v>
      </c>
      <c r="F651" t="s">
        <v>105</v>
      </c>
      <c r="G651" t="s">
        <v>106</v>
      </c>
      <c r="H651">
        <v>11</v>
      </c>
      <c r="I651">
        <v>2904</v>
      </c>
      <c r="J651" t="s">
        <v>2246</v>
      </c>
      <c r="K651" s="17">
        <v>3.71</v>
      </c>
      <c r="L651" s="3">
        <f t="shared" si="10"/>
        <v>0</v>
      </c>
      <c r="N651" t="s">
        <v>2254</v>
      </c>
      <c r="O651" t="s">
        <v>2248</v>
      </c>
      <c r="P651">
        <v>2.2650000000000001</v>
      </c>
    </row>
    <row r="652" spans="1:16" x14ac:dyDescent="0.35">
      <c r="A652" s="5" t="str">
        <f>HYPERLINK("https://tienda.tarracoimportexport.com/index.php?id_product=10361&amp;controller=product&amp;id_lang=4", "TR011359")</f>
        <v>TR011359</v>
      </c>
      <c r="B652" t="s">
        <v>2255</v>
      </c>
      <c r="D652" s="4">
        <v>960</v>
      </c>
      <c r="E652" t="s">
        <v>2256</v>
      </c>
      <c r="F652" t="s">
        <v>105</v>
      </c>
      <c r="G652" t="s">
        <v>106</v>
      </c>
      <c r="H652">
        <v>11</v>
      </c>
      <c r="I652">
        <v>2904</v>
      </c>
      <c r="J652" t="s">
        <v>2246</v>
      </c>
      <c r="K652" s="17">
        <v>3.71</v>
      </c>
      <c r="L652" s="3">
        <f t="shared" si="10"/>
        <v>0</v>
      </c>
      <c r="N652" t="s">
        <v>2257</v>
      </c>
      <c r="O652" t="s">
        <v>2248</v>
      </c>
      <c r="P652">
        <v>2.6549999999999998</v>
      </c>
    </row>
    <row r="653" spans="1:16" x14ac:dyDescent="0.35">
      <c r="A653" s="5" t="str">
        <f>HYPERLINK("https://tienda.tarracoimportexport.com/index.php?id_product=10350&amp;controller=product&amp;id_lang=4", "TR011352")</f>
        <v>TR011352</v>
      </c>
      <c r="B653" t="s">
        <v>2258</v>
      </c>
      <c r="D653" s="4">
        <v>576</v>
      </c>
      <c r="E653" t="s">
        <v>2259</v>
      </c>
      <c r="F653" t="s">
        <v>1995</v>
      </c>
      <c r="G653" t="s">
        <v>202</v>
      </c>
      <c r="H653">
        <v>9</v>
      </c>
      <c r="I653">
        <v>3024</v>
      </c>
      <c r="J653" t="s">
        <v>2073</v>
      </c>
      <c r="K653" s="17">
        <v>1.49</v>
      </c>
      <c r="L653" s="3">
        <f t="shared" si="10"/>
        <v>0</v>
      </c>
      <c r="N653" t="s">
        <v>2260</v>
      </c>
      <c r="O653" t="s">
        <v>2261</v>
      </c>
      <c r="P653">
        <v>7.99</v>
      </c>
    </row>
    <row r="654" spans="1:16" x14ac:dyDescent="0.35">
      <c r="A654" s="5" t="str">
        <f>HYPERLINK("https://tienda.tarracoimportexport.com/index.php?id_product=10356&amp;controller=product&amp;id_lang=4", "TR011354")</f>
        <v>TR011354</v>
      </c>
      <c r="B654" t="s">
        <v>2262</v>
      </c>
      <c r="D654" s="4">
        <v>576</v>
      </c>
      <c r="E654" t="s">
        <v>2263</v>
      </c>
      <c r="F654" t="s">
        <v>1995</v>
      </c>
      <c r="G654" t="s">
        <v>202</v>
      </c>
      <c r="H654">
        <v>9</v>
      </c>
      <c r="I654">
        <v>3024</v>
      </c>
      <c r="J654" t="s">
        <v>2073</v>
      </c>
      <c r="K654" s="17">
        <v>1.49</v>
      </c>
      <c r="L654" s="3">
        <f t="shared" si="10"/>
        <v>0</v>
      </c>
      <c r="N654" t="s">
        <v>2264</v>
      </c>
      <c r="O654" t="s">
        <v>2261</v>
      </c>
      <c r="P654">
        <v>7.8849999999999998</v>
      </c>
    </row>
    <row r="655" spans="1:16" x14ac:dyDescent="0.35">
      <c r="A655" s="5" t="str">
        <f>HYPERLINK("https://tienda.tarracoimportexport.com/index.php?id_product=10349&amp;controller=product&amp;id_lang=4", "TR011351")</f>
        <v>TR011351</v>
      </c>
      <c r="B655" t="s">
        <v>2265</v>
      </c>
      <c r="D655" s="4">
        <v>3984</v>
      </c>
      <c r="E655" t="s">
        <v>2266</v>
      </c>
      <c r="F655" t="s">
        <v>105</v>
      </c>
      <c r="G655" t="s">
        <v>202</v>
      </c>
      <c r="H655">
        <v>9</v>
      </c>
      <c r="I655">
        <v>3888</v>
      </c>
      <c r="J655" t="s">
        <v>834</v>
      </c>
      <c r="K655" s="17">
        <v>1.2</v>
      </c>
      <c r="L655" s="3">
        <f t="shared" si="10"/>
        <v>0</v>
      </c>
      <c r="N655" t="s">
        <v>2267</v>
      </c>
      <c r="O655" t="s">
        <v>2261</v>
      </c>
      <c r="P655">
        <v>4.07</v>
      </c>
    </row>
    <row r="656" spans="1:16" x14ac:dyDescent="0.35">
      <c r="A656" s="5" t="str">
        <f>HYPERLINK("https://tienda.tarracoimportexport.com/index.php?id_product=10347&amp;controller=product&amp;id_lang=4", "TR011349")</f>
        <v>TR011349</v>
      </c>
      <c r="B656" t="s">
        <v>2268</v>
      </c>
      <c r="D656" s="4">
        <v>3888</v>
      </c>
      <c r="E656" t="s">
        <v>2269</v>
      </c>
      <c r="F656" t="s">
        <v>1647</v>
      </c>
      <c r="G656" t="s">
        <v>202</v>
      </c>
      <c r="H656">
        <v>9</v>
      </c>
      <c r="I656">
        <v>3888</v>
      </c>
      <c r="J656" t="s">
        <v>834</v>
      </c>
      <c r="K656" s="17">
        <v>1.2</v>
      </c>
      <c r="L656" s="3">
        <f t="shared" si="10"/>
        <v>0</v>
      </c>
      <c r="N656" t="s">
        <v>2270</v>
      </c>
      <c r="O656" t="s">
        <v>2261</v>
      </c>
      <c r="P656">
        <v>7.62</v>
      </c>
    </row>
    <row r="657" spans="1:16" x14ac:dyDescent="0.35">
      <c r="A657" s="5" t="str">
        <f>HYPERLINK("https://tienda.tarracoimportexport.com/index.php?id_product=10355&amp;controller=product&amp;id_lang=4", "TR011353")</f>
        <v>TR011353</v>
      </c>
      <c r="B657" t="s">
        <v>2271</v>
      </c>
      <c r="D657" s="4">
        <v>528</v>
      </c>
      <c r="E657" t="s">
        <v>2272</v>
      </c>
      <c r="F657" t="s">
        <v>1995</v>
      </c>
      <c r="G657" t="s">
        <v>202</v>
      </c>
      <c r="H657">
        <v>9</v>
      </c>
      <c r="I657">
        <v>3024</v>
      </c>
      <c r="J657" t="s">
        <v>2073</v>
      </c>
      <c r="K657" s="17">
        <v>1.49</v>
      </c>
      <c r="L657" s="3">
        <f t="shared" si="10"/>
        <v>0</v>
      </c>
      <c r="N657" t="s">
        <v>2273</v>
      </c>
      <c r="O657" t="s">
        <v>2261</v>
      </c>
      <c r="P657">
        <v>7.99</v>
      </c>
    </row>
    <row r="658" spans="1:16" x14ac:dyDescent="0.35">
      <c r="A658" s="5" t="str">
        <f>HYPERLINK("https://tienda.tarracoimportexport.com/index.php?id_product=10348&amp;controller=product&amp;id_lang=4", "TR011350")</f>
        <v>TR011350</v>
      </c>
      <c r="B658" t="s">
        <v>2274</v>
      </c>
      <c r="D658" s="4">
        <v>3984</v>
      </c>
      <c r="E658" t="s">
        <v>2275</v>
      </c>
      <c r="F658" t="s">
        <v>2276</v>
      </c>
      <c r="G658" t="s">
        <v>202</v>
      </c>
      <c r="H658">
        <v>9</v>
      </c>
      <c r="I658">
        <v>3888</v>
      </c>
      <c r="J658" t="s">
        <v>834</v>
      </c>
      <c r="K658" s="17">
        <v>1.2</v>
      </c>
      <c r="L658" s="3">
        <f t="shared" si="10"/>
        <v>0</v>
      </c>
      <c r="N658" t="s">
        <v>2277</v>
      </c>
      <c r="O658" t="s">
        <v>2261</v>
      </c>
      <c r="P658">
        <v>3.89</v>
      </c>
    </row>
    <row r="659" spans="1:16" x14ac:dyDescent="0.35">
      <c r="A659" s="5" t="str">
        <f>HYPERLINK("https://tienda.tarracoimportexport.com/index.php?id_product=10358&amp;controller=product&amp;id_lang=4", "TR011356")</f>
        <v>TR011356</v>
      </c>
      <c r="B659" t="s">
        <v>2278</v>
      </c>
      <c r="D659" s="4">
        <v>672</v>
      </c>
      <c r="E659" t="s">
        <v>2279</v>
      </c>
      <c r="F659" t="s">
        <v>1109</v>
      </c>
      <c r="G659" t="s">
        <v>202</v>
      </c>
      <c r="H659">
        <v>9</v>
      </c>
      <c r="I659">
        <v>3024</v>
      </c>
      <c r="J659" t="s">
        <v>2073</v>
      </c>
      <c r="K659" s="17">
        <v>1.49</v>
      </c>
      <c r="L659" s="3">
        <f t="shared" si="10"/>
        <v>0</v>
      </c>
      <c r="N659" t="s">
        <v>2280</v>
      </c>
      <c r="O659" t="s">
        <v>2261</v>
      </c>
      <c r="P659">
        <v>7.9850000000000003</v>
      </c>
    </row>
    <row r="660" spans="1:16" x14ac:dyDescent="0.35">
      <c r="A660" s="5" t="str">
        <f>HYPERLINK("https://tienda.tarracoimportexport.com/index.php?id_product=10357&amp;controller=product&amp;id_lang=4", "TR011355")</f>
        <v>TR011355</v>
      </c>
      <c r="B660" t="s">
        <v>2281</v>
      </c>
      <c r="D660" s="4">
        <v>576</v>
      </c>
      <c r="E660" t="s">
        <v>2282</v>
      </c>
      <c r="F660" t="s">
        <v>1109</v>
      </c>
      <c r="G660" t="s">
        <v>202</v>
      </c>
      <c r="H660">
        <v>9</v>
      </c>
      <c r="I660">
        <v>3024</v>
      </c>
      <c r="J660" t="s">
        <v>2073</v>
      </c>
      <c r="K660" s="17">
        <v>1.49</v>
      </c>
      <c r="L660" s="3">
        <f t="shared" si="10"/>
        <v>0</v>
      </c>
      <c r="N660" t="s">
        <v>2283</v>
      </c>
      <c r="O660" t="s">
        <v>2261</v>
      </c>
      <c r="P660">
        <v>7.9249999999999998</v>
      </c>
    </row>
    <row r="661" spans="1:16" x14ac:dyDescent="0.35">
      <c r="A661" s="5" t="str">
        <f>HYPERLINK("https://tienda.tarracoimportexport.com/index.php?id_product=10339&amp;controller=product&amp;id_lang=4", "TR011341")</f>
        <v>TR011341</v>
      </c>
      <c r="B661" t="s">
        <v>2284</v>
      </c>
      <c r="D661" s="4">
        <v>2112</v>
      </c>
      <c r="E661" t="s">
        <v>2285</v>
      </c>
      <c r="F661" t="s">
        <v>1995</v>
      </c>
      <c r="G661" t="s">
        <v>202</v>
      </c>
      <c r="H661">
        <v>6</v>
      </c>
      <c r="I661">
        <v>2016</v>
      </c>
      <c r="J661" t="s">
        <v>334</v>
      </c>
      <c r="K661" s="17">
        <v>1.79</v>
      </c>
      <c r="L661" s="3">
        <f t="shared" si="10"/>
        <v>0</v>
      </c>
      <c r="N661" t="s">
        <v>2286</v>
      </c>
      <c r="O661" t="s">
        <v>2287</v>
      </c>
      <c r="P661">
        <v>13.26</v>
      </c>
    </row>
    <row r="662" spans="1:16" x14ac:dyDescent="0.35">
      <c r="A662" s="5" t="str">
        <f>HYPERLINK("https://tienda.tarracoimportexport.com/index.php?id_product=10340&amp;controller=product&amp;id_lang=4", "TR011342")</f>
        <v>TR011342</v>
      </c>
      <c r="B662" t="s">
        <v>2288</v>
      </c>
      <c r="D662" s="4">
        <v>936</v>
      </c>
      <c r="E662" t="s">
        <v>2289</v>
      </c>
      <c r="F662" t="s">
        <v>115</v>
      </c>
      <c r="G662" t="s">
        <v>106</v>
      </c>
      <c r="H662">
        <v>6</v>
      </c>
      <c r="I662">
        <v>1440</v>
      </c>
      <c r="J662" t="s">
        <v>516</v>
      </c>
      <c r="K662" s="17">
        <v>2.93</v>
      </c>
      <c r="L662" s="3">
        <f t="shared" si="10"/>
        <v>0</v>
      </c>
      <c r="N662" t="s">
        <v>2290</v>
      </c>
      <c r="O662" t="s">
        <v>2291</v>
      </c>
      <c r="P662">
        <v>11.135</v>
      </c>
    </row>
    <row r="663" spans="1:16" x14ac:dyDescent="0.35">
      <c r="A663" s="5" t="str">
        <f>HYPERLINK("https://tienda.tarracoimportexport.com/index.php?id_product=10731&amp;controller=product&amp;id_lang=4", "TR011695")</f>
        <v>TR011695</v>
      </c>
      <c r="B663" t="s">
        <v>2292</v>
      </c>
      <c r="D663" s="4">
        <v>6096</v>
      </c>
      <c r="E663" t="s">
        <v>2293</v>
      </c>
      <c r="F663" t="s">
        <v>164</v>
      </c>
      <c r="G663" t="s">
        <v>202</v>
      </c>
      <c r="H663">
        <v>8</v>
      </c>
      <c r="I663">
        <v>3072</v>
      </c>
      <c r="J663" t="s">
        <v>388</v>
      </c>
      <c r="K663" s="17">
        <v>1.95</v>
      </c>
      <c r="L663" s="3">
        <f t="shared" si="10"/>
        <v>0</v>
      </c>
      <c r="N663" t="s">
        <v>2294</v>
      </c>
      <c r="O663" t="s">
        <v>2295</v>
      </c>
      <c r="P663">
        <v>10.55</v>
      </c>
    </row>
    <row r="664" spans="1:16" x14ac:dyDescent="0.35">
      <c r="A664" s="5" t="str">
        <f>HYPERLINK("https://tienda.tarracoimportexport.com/index.php?id_product=10192&amp;controller=product&amp;id_lang=4", "TR011226")</f>
        <v>TR011226</v>
      </c>
      <c r="B664" t="s">
        <v>2296</v>
      </c>
      <c r="D664" s="4">
        <v>1728</v>
      </c>
      <c r="E664" t="s">
        <v>2297</v>
      </c>
      <c r="F664" t="s">
        <v>115</v>
      </c>
      <c r="G664" t="s">
        <v>202</v>
      </c>
      <c r="H664">
        <v>12</v>
      </c>
      <c r="I664">
        <v>5760</v>
      </c>
      <c r="J664" t="s">
        <v>63</v>
      </c>
      <c r="K664" s="17">
        <v>2.0499999999999998</v>
      </c>
      <c r="L664" s="3">
        <f t="shared" si="10"/>
        <v>0</v>
      </c>
      <c r="N664" t="s">
        <v>2298</v>
      </c>
      <c r="O664" t="s">
        <v>2299</v>
      </c>
      <c r="P664">
        <v>6.72</v>
      </c>
    </row>
    <row r="665" spans="1:16" x14ac:dyDescent="0.35">
      <c r="A665" s="5" t="str">
        <f>HYPERLINK("https://tienda.tarracoimportexport.com/index.php?id_product=10193&amp;controller=product&amp;id_lang=4", "TR011227")</f>
        <v>TR011227</v>
      </c>
      <c r="B665" t="s">
        <v>2300</v>
      </c>
      <c r="D665" s="4">
        <v>1584</v>
      </c>
      <c r="E665" t="s">
        <v>2301</v>
      </c>
      <c r="F665" t="s">
        <v>718</v>
      </c>
      <c r="G665" t="s">
        <v>202</v>
      </c>
      <c r="H665">
        <v>12</v>
      </c>
      <c r="I665">
        <v>5760</v>
      </c>
      <c r="J665" t="s">
        <v>63</v>
      </c>
      <c r="K665" s="17">
        <v>2.0499999999999998</v>
      </c>
      <c r="L665" s="3">
        <f t="shared" si="10"/>
        <v>0</v>
      </c>
      <c r="N665" t="s">
        <v>2302</v>
      </c>
      <c r="O665" t="s">
        <v>2303</v>
      </c>
      <c r="P665">
        <v>5.57</v>
      </c>
    </row>
    <row r="666" spans="1:16" x14ac:dyDescent="0.35">
      <c r="A666" s="5" t="str">
        <f>HYPERLINK("https://tienda.tarracoimportexport.com/index.php?id_product=10318&amp;controller=product&amp;id_lang=4", "TR011321")</f>
        <v>TR011321</v>
      </c>
      <c r="B666" t="s">
        <v>2304</v>
      </c>
      <c r="D666" s="4">
        <v>1200</v>
      </c>
      <c r="E666" t="s">
        <v>2305</v>
      </c>
      <c r="F666" t="s">
        <v>115</v>
      </c>
      <c r="G666" t="s">
        <v>106</v>
      </c>
      <c r="H666">
        <v>6</v>
      </c>
      <c r="I666">
        <v>1584</v>
      </c>
      <c r="J666" t="s">
        <v>107</v>
      </c>
      <c r="K666" s="17">
        <v>2.37</v>
      </c>
      <c r="L666" s="3">
        <f t="shared" si="10"/>
        <v>0</v>
      </c>
      <c r="N666" t="s">
        <v>2306</v>
      </c>
      <c r="O666" t="s">
        <v>2307</v>
      </c>
      <c r="P666">
        <v>11.86</v>
      </c>
    </row>
    <row r="667" spans="1:16" x14ac:dyDescent="0.35">
      <c r="A667" s="5" t="str">
        <f>HYPERLINK("https://tienda.tarracoimportexport.com/index.php?id_product=10319&amp;controller=product&amp;id_lang=4", "TR011322")</f>
        <v>TR011322</v>
      </c>
      <c r="B667" t="s">
        <v>2308</v>
      </c>
      <c r="D667" s="4">
        <v>912</v>
      </c>
      <c r="E667" t="s">
        <v>2309</v>
      </c>
      <c r="F667" t="s">
        <v>115</v>
      </c>
      <c r="G667" t="s">
        <v>106</v>
      </c>
      <c r="H667">
        <v>6</v>
      </c>
      <c r="I667">
        <v>1440</v>
      </c>
      <c r="J667" t="s">
        <v>516</v>
      </c>
      <c r="K667" s="17">
        <v>2.37</v>
      </c>
      <c r="L667" s="3">
        <f t="shared" si="10"/>
        <v>0</v>
      </c>
      <c r="N667" t="s">
        <v>2310</v>
      </c>
      <c r="O667" t="s">
        <v>2307</v>
      </c>
      <c r="P667">
        <v>11.74</v>
      </c>
    </row>
    <row r="668" spans="1:16" x14ac:dyDescent="0.35">
      <c r="A668" s="5" t="str">
        <f>HYPERLINK("https://tienda.tarracoimportexport.com/index.php?id_product=10837&amp;controller=product&amp;id_lang=4", "TR011783")</f>
        <v>TR011783</v>
      </c>
      <c r="B668" t="s">
        <v>2311</v>
      </c>
      <c r="D668" s="4">
        <v>24</v>
      </c>
      <c r="E668" t="s">
        <v>2218</v>
      </c>
      <c r="F668" t="s">
        <v>164</v>
      </c>
      <c r="G668" t="s">
        <v>50</v>
      </c>
      <c r="H668">
        <v>15</v>
      </c>
      <c r="I668">
        <v>1440</v>
      </c>
      <c r="J668" t="s">
        <v>63</v>
      </c>
      <c r="K668" s="17">
        <v>1.45</v>
      </c>
      <c r="L668" s="3">
        <f t="shared" si="10"/>
        <v>0</v>
      </c>
      <c r="N668" t="s">
        <v>2312</v>
      </c>
      <c r="O668" t="s">
        <v>2220</v>
      </c>
      <c r="P668">
        <v>2.69</v>
      </c>
    </row>
    <row r="669" spans="1:16" x14ac:dyDescent="0.35">
      <c r="A669" s="5" t="str">
        <f>HYPERLINK("https://tienda.tarracoimportexport.com/index.php?id_product=10211&amp;controller=product&amp;id_lang=4", "TR011243")</f>
        <v>TR011243</v>
      </c>
      <c r="B669" t="s">
        <v>2313</v>
      </c>
      <c r="D669" s="4">
        <v>13584</v>
      </c>
      <c r="E669" t="s">
        <v>2314</v>
      </c>
      <c r="F669" t="s">
        <v>718</v>
      </c>
      <c r="G669" t="s">
        <v>202</v>
      </c>
      <c r="H669">
        <v>8</v>
      </c>
      <c r="I669">
        <v>2688</v>
      </c>
      <c r="J669" t="s">
        <v>539</v>
      </c>
      <c r="K669" s="17">
        <v>0.78</v>
      </c>
      <c r="L669" s="3">
        <f t="shared" si="10"/>
        <v>0</v>
      </c>
      <c r="N669" t="s">
        <v>2315</v>
      </c>
      <c r="O669" t="s">
        <v>2220</v>
      </c>
      <c r="P669">
        <v>3.2650000000000001</v>
      </c>
    </row>
    <row r="670" spans="1:16" x14ac:dyDescent="0.35">
      <c r="A670" s="5" t="str">
        <f>HYPERLINK("https://tienda.tarracoimportexport.com/index.php?id_product=10215&amp;controller=product&amp;id_lang=4", "TR011247")</f>
        <v>TR011247</v>
      </c>
      <c r="B670" t="s">
        <v>2316</v>
      </c>
      <c r="D670" s="4">
        <v>11040</v>
      </c>
      <c r="E670" t="s">
        <v>2317</v>
      </c>
      <c r="F670" t="s">
        <v>2009</v>
      </c>
      <c r="G670" t="s">
        <v>202</v>
      </c>
      <c r="H670">
        <v>18</v>
      </c>
      <c r="I670">
        <v>8640</v>
      </c>
      <c r="J670" t="s">
        <v>1569</v>
      </c>
      <c r="K670" s="17">
        <v>0.78</v>
      </c>
      <c r="L670" s="3">
        <f t="shared" si="10"/>
        <v>0</v>
      </c>
      <c r="N670" t="s">
        <v>2318</v>
      </c>
      <c r="O670" t="s">
        <v>2319</v>
      </c>
      <c r="P670">
        <v>3.3149999999999999</v>
      </c>
    </row>
    <row r="671" spans="1:16" x14ac:dyDescent="0.35">
      <c r="A671" s="5" t="str">
        <f>HYPERLINK("https://tienda.tarracoimportexport.com/index.php?id_product=10216&amp;controller=product&amp;id_lang=4", "TR011248")</f>
        <v>TR011248</v>
      </c>
      <c r="B671" t="s">
        <v>2320</v>
      </c>
      <c r="D671" s="4">
        <v>9312</v>
      </c>
      <c r="E671" t="s">
        <v>2321</v>
      </c>
      <c r="F671" t="s">
        <v>757</v>
      </c>
      <c r="G671" t="s">
        <v>202</v>
      </c>
      <c r="H671">
        <v>18</v>
      </c>
      <c r="I671">
        <v>8640</v>
      </c>
      <c r="J671" t="s">
        <v>1569</v>
      </c>
      <c r="K671" s="17">
        <v>0.78</v>
      </c>
      <c r="L671" s="3">
        <f t="shared" si="10"/>
        <v>0</v>
      </c>
      <c r="N671" t="s">
        <v>2322</v>
      </c>
      <c r="O671" t="s">
        <v>2220</v>
      </c>
      <c r="P671">
        <v>3.2149999999999999</v>
      </c>
    </row>
    <row r="672" spans="1:16" x14ac:dyDescent="0.35">
      <c r="A672" s="5" t="str">
        <f>HYPERLINK("https://tienda.tarracoimportexport.com/index.php?id_product=10213&amp;controller=product&amp;id_lang=4", "TR011245")</f>
        <v>TR011245</v>
      </c>
      <c r="B672" t="s">
        <v>2323</v>
      </c>
      <c r="D672" s="4">
        <v>27024</v>
      </c>
      <c r="E672" t="s">
        <v>2239</v>
      </c>
      <c r="F672" t="s">
        <v>164</v>
      </c>
      <c r="G672" t="s">
        <v>202</v>
      </c>
      <c r="H672">
        <v>18</v>
      </c>
      <c r="I672">
        <v>9504</v>
      </c>
      <c r="J672" t="s">
        <v>1729</v>
      </c>
      <c r="K672" s="17">
        <v>0.78</v>
      </c>
      <c r="L672" s="3">
        <f t="shared" si="10"/>
        <v>0</v>
      </c>
      <c r="N672" t="s">
        <v>2324</v>
      </c>
      <c r="O672" t="s">
        <v>2220</v>
      </c>
      <c r="P672">
        <v>3.35</v>
      </c>
    </row>
    <row r="673" spans="1:16" x14ac:dyDescent="0.35">
      <c r="A673" s="5" t="str">
        <f>HYPERLINK("https://tienda.tarracoimportexport.com/index.php?id_product=10194&amp;controller=product&amp;id_lang=4", "TR011228")</f>
        <v>TR011228</v>
      </c>
      <c r="B673" t="s">
        <v>2325</v>
      </c>
      <c r="D673" s="4">
        <v>1776</v>
      </c>
      <c r="E673" t="s">
        <v>2326</v>
      </c>
      <c r="F673" t="s">
        <v>757</v>
      </c>
      <c r="G673" t="s">
        <v>202</v>
      </c>
      <c r="H673">
        <v>12</v>
      </c>
      <c r="I673">
        <v>5760</v>
      </c>
      <c r="J673" t="s">
        <v>63</v>
      </c>
      <c r="K673" s="17">
        <v>2.0499999999999998</v>
      </c>
      <c r="L673" s="3">
        <f t="shared" si="10"/>
        <v>0</v>
      </c>
      <c r="N673" t="s">
        <v>2327</v>
      </c>
      <c r="O673" t="s">
        <v>2328</v>
      </c>
      <c r="P673">
        <v>6.2</v>
      </c>
    </row>
    <row r="674" spans="1:16" x14ac:dyDescent="0.35">
      <c r="A674" s="5" t="str">
        <f>HYPERLINK("https://tienda.tarracoimportexport.com/index.php?id_product=10833&amp;controller=product&amp;id_lang=4", "TR011779")</f>
        <v>TR011779</v>
      </c>
      <c r="B674" t="s">
        <v>2329</v>
      </c>
      <c r="D674" s="4">
        <v>3744</v>
      </c>
      <c r="E674" t="s">
        <v>2330</v>
      </c>
      <c r="F674" t="s">
        <v>164</v>
      </c>
      <c r="G674" t="s">
        <v>202</v>
      </c>
      <c r="H674">
        <v>8</v>
      </c>
      <c r="I674">
        <v>2688</v>
      </c>
      <c r="J674" t="s">
        <v>539</v>
      </c>
      <c r="K674" s="17">
        <v>2.15</v>
      </c>
      <c r="L674" s="3">
        <f t="shared" si="10"/>
        <v>0</v>
      </c>
      <c r="N674" t="s">
        <v>2331</v>
      </c>
      <c r="O674" t="s">
        <v>2332</v>
      </c>
      <c r="P674">
        <v>5.5</v>
      </c>
    </row>
    <row r="675" spans="1:16" x14ac:dyDescent="0.35">
      <c r="A675" s="5" t="str">
        <f>HYPERLINK("https://tienda.tarracoimportexport.com/index.php?id_product=10834&amp;controller=product&amp;id_lang=4", "TR011780")</f>
        <v>TR011780</v>
      </c>
      <c r="B675" t="s">
        <v>2333</v>
      </c>
      <c r="D675" s="4">
        <v>3744</v>
      </c>
      <c r="E675" t="s">
        <v>2334</v>
      </c>
      <c r="F675" t="s">
        <v>164</v>
      </c>
      <c r="G675" t="s">
        <v>202</v>
      </c>
      <c r="H675">
        <v>8</v>
      </c>
      <c r="I675">
        <v>2688</v>
      </c>
      <c r="J675" t="s">
        <v>539</v>
      </c>
      <c r="K675" s="17">
        <v>2.15</v>
      </c>
      <c r="L675" s="3">
        <f t="shared" si="10"/>
        <v>0</v>
      </c>
      <c r="N675" t="s">
        <v>2335</v>
      </c>
      <c r="O675" t="s">
        <v>2332</v>
      </c>
      <c r="P675">
        <v>5.5</v>
      </c>
    </row>
    <row r="676" spans="1:16" x14ac:dyDescent="0.35">
      <c r="A676" s="5" t="str">
        <f>HYPERLINK("https://tienda.tarracoimportexport.com/index.php?id_product=10210&amp;controller=product&amp;id_lang=4", "TR011242")</f>
        <v>TR011242</v>
      </c>
      <c r="B676" t="s">
        <v>2336</v>
      </c>
      <c r="D676" s="4">
        <v>63168</v>
      </c>
      <c r="E676" t="s">
        <v>2337</v>
      </c>
      <c r="F676" t="s">
        <v>115</v>
      </c>
      <c r="G676" t="s">
        <v>202</v>
      </c>
      <c r="H676">
        <v>9</v>
      </c>
      <c r="I676">
        <v>3024</v>
      </c>
      <c r="J676" t="s">
        <v>2073</v>
      </c>
      <c r="K676" s="17">
        <v>1.9</v>
      </c>
      <c r="L676" s="3">
        <f t="shared" si="10"/>
        <v>0</v>
      </c>
      <c r="N676" t="s">
        <v>2338</v>
      </c>
      <c r="O676" t="s">
        <v>2339</v>
      </c>
      <c r="P676">
        <v>1.73</v>
      </c>
    </row>
    <row r="677" spans="1:16" x14ac:dyDescent="0.35">
      <c r="A677" s="5" t="str">
        <f>HYPERLINK("https://tienda.tarracoimportexport.com/index.php?id_product=10876&amp;controller=product&amp;id_lang=4", "TR011823")</f>
        <v>TR011823</v>
      </c>
      <c r="B677" t="s">
        <v>2336</v>
      </c>
      <c r="D677" s="4">
        <v>624</v>
      </c>
      <c r="E677" t="s">
        <v>2337</v>
      </c>
      <c r="F677" t="s">
        <v>164</v>
      </c>
      <c r="G677" t="s">
        <v>106</v>
      </c>
      <c r="H677">
        <v>10</v>
      </c>
      <c r="I677">
        <v>720</v>
      </c>
      <c r="J677" t="s">
        <v>362</v>
      </c>
      <c r="K677" s="17">
        <v>1.9</v>
      </c>
      <c r="L677" s="3">
        <f t="shared" si="10"/>
        <v>0</v>
      </c>
      <c r="N677" t="s">
        <v>2340</v>
      </c>
      <c r="O677" t="s">
        <v>2339</v>
      </c>
      <c r="P677">
        <v>1.7470000000000001</v>
      </c>
    </row>
    <row r="678" spans="1:16" x14ac:dyDescent="0.35">
      <c r="A678" s="5" t="str">
        <f>HYPERLINK("https://tienda.tarracoimportexport.com/index.php?id_product=10831&amp;controller=product&amp;id_lang=4", "TR011778")</f>
        <v>TR011778</v>
      </c>
      <c r="B678" t="s">
        <v>2341</v>
      </c>
      <c r="D678" s="4">
        <v>3840</v>
      </c>
      <c r="E678" t="s">
        <v>2342</v>
      </c>
      <c r="F678" t="s">
        <v>164</v>
      </c>
      <c r="G678" t="s">
        <v>202</v>
      </c>
      <c r="H678">
        <v>8</v>
      </c>
      <c r="I678">
        <v>2688</v>
      </c>
      <c r="J678" t="s">
        <v>539</v>
      </c>
      <c r="K678" s="17">
        <v>2.15</v>
      </c>
      <c r="L678" s="3">
        <f t="shared" si="10"/>
        <v>0</v>
      </c>
      <c r="N678" t="s">
        <v>2343</v>
      </c>
      <c r="O678" t="s">
        <v>2332</v>
      </c>
      <c r="P678">
        <v>5.5</v>
      </c>
    </row>
    <row r="679" spans="1:16" x14ac:dyDescent="0.35">
      <c r="A679" s="5" t="str">
        <f>HYPERLINK("https://tienda.tarracoimportexport.com/index.php?id_product=10308&amp;controller=product&amp;id_lang=4", "TR011311")</f>
        <v>TR011311</v>
      </c>
      <c r="B679" t="s">
        <v>2344</v>
      </c>
      <c r="D679" s="4">
        <v>840</v>
      </c>
      <c r="E679" t="s">
        <v>2345</v>
      </c>
      <c r="F679" t="s">
        <v>105</v>
      </c>
      <c r="G679" t="s">
        <v>106</v>
      </c>
      <c r="H679">
        <v>8</v>
      </c>
      <c r="I679">
        <v>1344</v>
      </c>
      <c r="J679" t="s">
        <v>539</v>
      </c>
      <c r="K679" s="17">
        <v>2.77</v>
      </c>
      <c r="L679" s="3">
        <f t="shared" si="10"/>
        <v>0</v>
      </c>
      <c r="N679" t="s">
        <v>2346</v>
      </c>
      <c r="O679" t="s">
        <v>2347</v>
      </c>
      <c r="P679">
        <v>9.4350000000000005</v>
      </c>
    </row>
    <row r="680" spans="1:16" x14ac:dyDescent="0.35">
      <c r="A680" s="5" t="str">
        <f>HYPERLINK("https://tienda.tarracoimportexport.com/index.php?id_product=10317&amp;controller=product&amp;id_lang=4", "TR011320")</f>
        <v>TR011320</v>
      </c>
      <c r="B680" t="s">
        <v>2348</v>
      </c>
      <c r="D680" s="4">
        <v>1344</v>
      </c>
      <c r="E680" t="s">
        <v>2349</v>
      </c>
      <c r="F680" t="s">
        <v>105</v>
      </c>
      <c r="G680" t="s">
        <v>106</v>
      </c>
      <c r="H680">
        <v>6</v>
      </c>
      <c r="I680">
        <v>1584</v>
      </c>
      <c r="J680" t="s">
        <v>107</v>
      </c>
      <c r="K680" s="17">
        <v>2.37</v>
      </c>
      <c r="L680" s="3">
        <f t="shared" si="10"/>
        <v>0</v>
      </c>
      <c r="N680" t="s">
        <v>2350</v>
      </c>
      <c r="O680" t="s">
        <v>2307</v>
      </c>
      <c r="P680">
        <v>11.904999999999999</v>
      </c>
    </row>
    <row r="681" spans="1:16" x14ac:dyDescent="0.35">
      <c r="A681" s="5" t="str">
        <f>HYPERLINK("https://tienda.tarracoimportexport.com/index.php?id_product=10316&amp;controller=product&amp;id_lang=4", "TR011319")</f>
        <v>TR011319</v>
      </c>
      <c r="B681" t="s">
        <v>2351</v>
      </c>
      <c r="D681" s="4">
        <v>936</v>
      </c>
      <c r="E681" t="s">
        <v>2352</v>
      </c>
      <c r="F681" t="s">
        <v>105</v>
      </c>
      <c r="G681" t="s">
        <v>106</v>
      </c>
      <c r="H681">
        <v>6</v>
      </c>
      <c r="I681">
        <v>1584</v>
      </c>
      <c r="J681" t="s">
        <v>107</v>
      </c>
      <c r="K681" s="17">
        <v>2.37</v>
      </c>
      <c r="L681" s="3">
        <f t="shared" si="10"/>
        <v>0</v>
      </c>
      <c r="N681" t="s">
        <v>2353</v>
      </c>
      <c r="O681" t="s">
        <v>2307</v>
      </c>
      <c r="P681">
        <v>11.72</v>
      </c>
    </row>
    <row r="682" spans="1:16" x14ac:dyDescent="0.35">
      <c r="A682" s="5" t="str">
        <f>HYPERLINK("https://tienda.tarracoimportexport.com/index.php?id_product=10300&amp;controller=product&amp;id_lang=4", "TR011309")</f>
        <v>TR011309</v>
      </c>
      <c r="B682" t="s">
        <v>2354</v>
      </c>
      <c r="D682" s="4">
        <v>1272</v>
      </c>
      <c r="E682" t="s">
        <v>2355</v>
      </c>
      <c r="F682" t="s">
        <v>115</v>
      </c>
      <c r="G682" t="s">
        <v>106</v>
      </c>
      <c r="H682">
        <v>11</v>
      </c>
      <c r="I682">
        <v>1584</v>
      </c>
      <c r="J682" t="s">
        <v>107</v>
      </c>
      <c r="K682" s="17">
        <v>2.2000000000000002</v>
      </c>
      <c r="L682" s="3">
        <f t="shared" si="10"/>
        <v>0</v>
      </c>
      <c r="N682" t="s">
        <v>2356</v>
      </c>
      <c r="O682" t="s">
        <v>2347</v>
      </c>
      <c r="P682">
        <v>8.5549999999999997</v>
      </c>
    </row>
    <row r="683" spans="1:16" x14ac:dyDescent="0.35">
      <c r="A683" s="5" t="str">
        <f>HYPERLINK("https://tienda.tarracoimportexport.com/index.php?id_product=10299&amp;controller=product&amp;id_lang=4", "TR011308")</f>
        <v>TR011308</v>
      </c>
      <c r="B683" t="s">
        <v>2357</v>
      </c>
      <c r="D683" s="4">
        <v>1296</v>
      </c>
      <c r="E683" t="s">
        <v>2358</v>
      </c>
      <c r="F683" t="s">
        <v>115</v>
      </c>
      <c r="G683" t="s">
        <v>106</v>
      </c>
      <c r="H683">
        <v>11</v>
      </c>
      <c r="I683">
        <v>1584</v>
      </c>
      <c r="J683" t="s">
        <v>107</v>
      </c>
      <c r="K683" s="17">
        <v>2.2000000000000002</v>
      </c>
      <c r="L683" s="3">
        <f t="shared" si="10"/>
        <v>0</v>
      </c>
      <c r="N683" t="s">
        <v>2359</v>
      </c>
      <c r="O683" t="s">
        <v>2347</v>
      </c>
      <c r="P683">
        <v>8.8699999999999992</v>
      </c>
    </row>
    <row r="684" spans="1:16" x14ac:dyDescent="0.35">
      <c r="A684" s="5" t="str">
        <f>HYPERLINK("https://tienda.tarracoimportexport.com/index.php?id_product=10307&amp;controller=product&amp;id_lang=4", "TR011310")</f>
        <v>TR011310</v>
      </c>
      <c r="B684" t="s">
        <v>2360</v>
      </c>
      <c r="D684" s="4">
        <v>1440</v>
      </c>
      <c r="E684" t="s">
        <v>2361</v>
      </c>
      <c r="F684" t="s">
        <v>967</v>
      </c>
      <c r="G684" t="s">
        <v>106</v>
      </c>
      <c r="H684">
        <v>11</v>
      </c>
      <c r="I684">
        <v>1584</v>
      </c>
      <c r="J684" t="s">
        <v>107</v>
      </c>
      <c r="K684" s="17">
        <v>2.2000000000000002</v>
      </c>
      <c r="L684" s="3">
        <f t="shared" si="10"/>
        <v>0</v>
      </c>
      <c r="N684" t="s">
        <v>2362</v>
      </c>
      <c r="O684" t="s">
        <v>2347</v>
      </c>
      <c r="P684">
        <v>8.7799999999999994</v>
      </c>
    </row>
    <row r="685" spans="1:16" x14ac:dyDescent="0.35">
      <c r="A685" s="5" t="str">
        <f>HYPERLINK("https://tienda.tarracoimportexport.com/index.php?id_product=10338&amp;controller=product&amp;id_lang=4", "TR011340")</f>
        <v>TR011340</v>
      </c>
      <c r="B685" t="s">
        <v>2363</v>
      </c>
      <c r="D685" s="4">
        <v>2064</v>
      </c>
      <c r="E685" t="s">
        <v>2364</v>
      </c>
      <c r="F685" t="s">
        <v>105</v>
      </c>
      <c r="G685" t="s">
        <v>202</v>
      </c>
      <c r="H685">
        <v>6</v>
      </c>
      <c r="I685">
        <v>2016</v>
      </c>
      <c r="J685" t="s">
        <v>334</v>
      </c>
      <c r="K685" s="17">
        <v>1.79</v>
      </c>
      <c r="L685" s="3">
        <f t="shared" si="10"/>
        <v>0</v>
      </c>
      <c r="N685" t="s">
        <v>2365</v>
      </c>
      <c r="O685" t="s">
        <v>2366</v>
      </c>
      <c r="P685">
        <v>13.62</v>
      </c>
    </row>
    <row r="686" spans="1:16" x14ac:dyDescent="0.35">
      <c r="A686" s="5" t="str">
        <f>HYPERLINK("https://tienda.tarracoimportexport.com/index.php?id_product=10195&amp;controller=product&amp;id_lang=4", "TR011229")</f>
        <v>TR011229</v>
      </c>
      <c r="B686" t="s">
        <v>2367</v>
      </c>
      <c r="D686" s="4">
        <v>1632</v>
      </c>
      <c r="E686" t="s">
        <v>2368</v>
      </c>
      <c r="F686" t="s">
        <v>115</v>
      </c>
      <c r="G686" t="s">
        <v>202</v>
      </c>
      <c r="H686">
        <v>12</v>
      </c>
      <c r="I686">
        <v>5760</v>
      </c>
      <c r="J686" t="s">
        <v>63</v>
      </c>
      <c r="K686" s="17">
        <v>2.0499999999999998</v>
      </c>
      <c r="L686" s="3">
        <f t="shared" si="10"/>
        <v>0</v>
      </c>
      <c r="N686" t="s">
        <v>2369</v>
      </c>
      <c r="O686" t="s">
        <v>2303</v>
      </c>
      <c r="P686">
        <v>6.7</v>
      </c>
    </row>
    <row r="687" spans="1:16" x14ac:dyDescent="0.35">
      <c r="A687" s="5" t="str">
        <f>HYPERLINK("https://tienda.tarracoimportexport.com/index.php?id_product=10190&amp;controller=product&amp;id_lang=4", "TR011224")</f>
        <v>TR011224</v>
      </c>
      <c r="B687" t="s">
        <v>2370</v>
      </c>
      <c r="D687" s="4">
        <v>1512</v>
      </c>
      <c r="E687" t="s">
        <v>2371</v>
      </c>
      <c r="F687" t="s">
        <v>967</v>
      </c>
      <c r="G687" t="s">
        <v>22</v>
      </c>
      <c r="H687">
        <v>11</v>
      </c>
      <c r="I687">
        <v>3960</v>
      </c>
      <c r="J687" t="s">
        <v>950</v>
      </c>
      <c r="K687" s="17">
        <v>2.0499999999999998</v>
      </c>
      <c r="L687" s="3">
        <f t="shared" si="10"/>
        <v>0</v>
      </c>
      <c r="N687" t="s">
        <v>2372</v>
      </c>
      <c r="O687" t="s">
        <v>2373</v>
      </c>
      <c r="P687">
        <v>4.8</v>
      </c>
    </row>
    <row r="688" spans="1:16" x14ac:dyDescent="0.35">
      <c r="A688" s="5" t="str">
        <f>HYPERLINK("https://tienda.tarracoimportexport.com/index.php?id_product=10189&amp;controller=product&amp;id_lang=4", "TR011223")</f>
        <v>TR011223</v>
      </c>
      <c r="B688" t="s">
        <v>2374</v>
      </c>
      <c r="D688" s="4">
        <v>1800</v>
      </c>
      <c r="E688" t="s">
        <v>2375</v>
      </c>
      <c r="F688" t="s">
        <v>115</v>
      </c>
      <c r="G688" t="s">
        <v>22</v>
      </c>
      <c r="H688">
        <v>11</v>
      </c>
      <c r="I688">
        <v>3960</v>
      </c>
      <c r="J688" t="s">
        <v>950</v>
      </c>
      <c r="K688" s="17">
        <v>2.0499999999999998</v>
      </c>
      <c r="L688" s="3">
        <f t="shared" si="10"/>
        <v>0</v>
      </c>
      <c r="N688" t="s">
        <v>2376</v>
      </c>
      <c r="O688" t="s">
        <v>2373</v>
      </c>
      <c r="P688">
        <v>4.9000000000000004</v>
      </c>
    </row>
    <row r="689" spans="1:16" x14ac:dyDescent="0.35">
      <c r="A689" s="5" t="str">
        <f>HYPERLINK("https://tienda.tarracoimportexport.com/index.php?id_product=10191&amp;controller=product&amp;id_lang=4", "TR011225")</f>
        <v>TR011225</v>
      </c>
      <c r="B689" t="s">
        <v>2377</v>
      </c>
      <c r="D689" s="4">
        <v>2016</v>
      </c>
      <c r="E689" t="s">
        <v>2378</v>
      </c>
      <c r="F689" t="s">
        <v>1995</v>
      </c>
      <c r="G689" t="s">
        <v>22</v>
      </c>
      <c r="H689">
        <v>11</v>
      </c>
      <c r="I689">
        <v>3960</v>
      </c>
      <c r="J689" t="s">
        <v>950</v>
      </c>
      <c r="K689" s="17">
        <v>2.0499999999999998</v>
      </c>
      <c r="L689" s="3">
        <f t="shared" si="10"/>
        <v>0</v>
      </c>
      <c r="N689" t="s">
        <v>2379</v>
      </c>
      <c r="O689" t="s">
        <v>2380</v>
      </c>
      <c r="P689">
        <v>4.8</v>
      </c>
    </row>
    <row r="690" spans="1:16" x14ac:dyDescent="0.35">
      <c r="A690" s="5" t="str">
        <f>HYPERLINK("https://tienda.tarracoimportexport.com/index.php?id_product=10188&amp;controller=product&amp;id_lang=4", "TR011222")</f>
        <v>TR011222</v>
      </c>
      <c r="B690" t="s">
        <v>2381</v>
      </c>
      <c r="D690" s="4">
        <v>1728</v>
      </c>
      <c r="E690" t="s">
        <v>2382</v>
      </c>
      <c r="F690" t="s">
        <v>105</v>
      </c>
      <c r="G690" t="s">
        <v>22</v>
      </c>
      <c r="H690">
        <v>11</v>
      </c>
      <c r="I690">
        <v>3960</v>
      </c>
      <c r="J690" t="s">
        <v>950</v>
      </c>
      <c r="K690" s="17">
        <v>2.0499999999999998</v>
      </c>
      <c r="L690" s="3">
        <f t="shared" si="10"/>
        <v>0</v>
      </c>
      <c r="N690" t="s">
        <v>2383</v>
      </c>
      <c r="O690" t="s">
        <v>2373</v>
      </c>
      <c r="P690">
        <v>4.7699999999999996</v>
      </c>
    </row>
    <row r="691" spans="1:16" x14ac:dyDescent="0.35">
      <c r="A691" s="5" t="str">
        <f>HYPERLINK("https://tienda.tarracoimportexport.com/index.php?id_product=10204&amp;controller=product&amp;id_lang=4", "TR011236")</f>
        <v>TR011236</v>
      </c>
      <c r="B691" t="s">
        <v>2384</v>
      </c>
      <c r="D691" s="4">
        <v>7056</v>
      </c>
      <c r="E691" t="s">
        <v>2385</v>
      </c>
      <c r="F691" t="s">
        <v>164</v>
      </c>
      <c r="G691" t="s">
        <v>202</v>
      </c>
      <c r="H691">
        <v>8</v>
      </c>
      <c r="I691">
        <v>2688</v>
      </c>
      <c r="J691" t="s">
        <v>539</v>
      </c>
      <c r="K691" s="17">
        <v>1.45</v>
      </c>
      <c r="L691" s="3">
        <f t="shared" si="10"/>
        <v>0</v>
      </c>
      <c r="N691" t="s">
        <v>2386</v>
      </c>
      <c r="O691" t="s">
        <v>2319</v>
      </c>
      <c r="P691">
        <v>11.2</v>
      </c>
    </row>
    <row r="692" spans="1:16" x14ac:dyDescent="0.35">
      <c r="A692" s="5" t="str">
        <f>HYPERLINK("https://tienda.tarracoimportexport.com/index.php?id_product=10205&amp;controller=product&amp;id_lang=4", "TR011237")</f>
        <v>TR011237</v>
      </c>
      <c r="B692" t="s">
        <v>2387</v>
      </c>
      <c r="D692" s="4">
        <v>7536</v>
      </c>
      <c r="E692" t="s">
        <v>2388</v>
      </c>
      <c r="F692" t="s">
        <v>164</v>
      </c>
      <c r="G692" t="s">
        <v>202</v>
      </c>
      <c r="H692">
        <v>8</v>
      </c>
      <c r="I692">
        <v>3072</v>
      </c>
      <c r="J692" t="s">
        <v>388</v>
      </c>
      <c r="K692" s="17">
        <v>1.45</v>
      </c>
      <c r="L692" s="3">
        <f t="shared" ref="L692:L755" si="11">K692*C692</f>
        <v>0</v>
      </c>
      <c r="N692" t="s">
        <v>2389</v>
      </c>
      <c r="O692" t="s">
        <v>2220</v>
      </c>
      <c r="P692">
        <v>10.8</v>
      </c>
    </row>
    <row r="693" spans="1:16" x14ac:dyDescent="0.35">
      <c r="A693" s="5" t="str">
        <f>HYPERLINK("https://tienda.tarracoimportexport.com/index.php?id_product=10203&amp;controller=product&amp;id_lang=4", "TR011235")</f>
        <v>TR011235</v>
      </c>
      <c r="B693" t="s">
        <v>2390</v>
      </c>
      <c r="D693" s="4">
        <v>60048</v>
      </c>
      <c r="E693" t="s">
        <v>2391</v>
      </c>
      <c r="F693" t="s">
        <v>1647</v>
      </c>
      <c r="G693" t="s">
        <v>202</v>
      </c>
      <c r="H693">
        <v>8</v>
      </c>
      <c r="I693">
        <v>3072</v>
      </c>
      <c r="J693" t="s">
        <v>388</v>
      </c>
      <c r="K693" s="17">
        <v>1.5</v>
      </c>
      <c r="L693" s="3">
        <f t="shared" si="11"/>
        <v>0</v>
      </c>
      <c r="N693" t="s">
        <v>2392</v>
      </c>
      <c r="O693" t="s">
        <v>2220</v>
      </c>
      <c r="P693">
        <v>10.8</v>
      </c>
    </row>
    <row r="694" spans="1:16" x14ac:dyDescent="0.35">
      <c r="A694" s="5" t="str">
        <f>HYPERLINK("https://tienda.tarracoimportexport.com/index.php?id_product=10214&amp;controller=product&amp;id_lang=4", "TR011246")</f>
        <v>TR011246</v>
      </c>
      <c r="B694" t="s">
        <v>2393</v>
      </c>
      <c r="D694" s="4">
        <v>8928</v>
      </c>
      <c r="E694" t="s">
        <v>2394</v>
      </c>
      <c r="F694" t="s">
        <v>1995</v>
      </c>
      <c r="G694" t="s">
        <v>202</v>
      </c>
      <c r="H694">
        <v>18</v>
      </c>
      <c r="I694">
        <v>8640</v>
      </c>
      <c r="J694" t="s">
        <v>1569</v>
      </c>
      <c r="K694" s="17">
        <v>0.78</v>
      </c>
      <c r="L694" s="3">
        <f t="shared" si="11"/>
        <v>0</v>
      </c>
      <c r="N694" t="s">
        <v>2395</v>
      </c>
      <c r="O694" t="s">
        <v>2319</v>
      </c>
      <c r="P694">
        <v>3.47</v>
      </c>
    </row>
    <row r="695" spans="1:16" x14ac:dyDescent="0.35">
      <c r="A695" s="5" t="str">
        <f>HYPERLINK("https://tienda.tarracoimportexport.com/index.php?id_product=10212&amp;controller=product&amp;id_lang=4", "TR011244")</f>
        <v>TR011244</v>
      </c>
      <c r="B695" t="s">
        <v>2396</v>
      </c>
      <c r="D695" s="4">
        <v>11760</v>
      </c>
      <c r="E695" t="s">
        <v>2397</v>
      </c>
      <c r="F695" t="s">
        <v>757</v>
      </c>
      <c r="G695" t="s">
        <v>202</v>
      </c>
      <c r="H695">
        <v>18</v>
      </c>
      <c r="I695">
        <v>9504</v>
      </c>
      <c r="J695" t="s">
        <v>1729</v>
      </c>
      <c r="K695" s="17">
        <v>0.78</v>
      </c>
      <c r="L695" s="3">
        <f t="shared" si="11"/>
        <v>0</v>
      </c>
      <c r="N695" t="s">
        <v>2398</v>
      </c>
      <c r="O695" t="s">
        <v>2399</v>
      </c>
      <c r="P695">
        <v>3.23</v>
      </c>
    </row>
    <row r="696" spans="1:16" x14ac:dyDescent="0.35">
      <c r="A696" s="5" t="str">
        <f>HYPERLINK("https://tienda.tarracoimportexport.com/index.php?id_product=10208&amp;controller=product&amp;id_lang=4", "TR011240")</f>
        <v>TR011240</v>
      </c>
      <c r="B696" t="s">
        <v>2400</v>
      </c>
      <c r="D696" s="4">
        <v>4752</v>
      </c>
      <c r="E696" t="s">
        <v>2401</v>
      </c>
      <c r="F696" t="s">
        <v>105</v>
      </c>
      <c r="G696" t="s">
        <v>202</v>
      </c>
      <c r="H696">
        <v>8</v>
      </c>
      <c r="I696">
        <v>2688</v>
      </c>
      <c r="J696" t="s">
        <v>539</v>
      </c>
      <c r="K696" s="17">
        <v>1.5</v>
      </c>
      <c r="L696" s="3">
        <f t="shared" si="11"/>
        <v>0</v>
      </c>
      <c r="N696" t="s">
        <v>2402</v>
      </c>
      <c r="O696" t="s">
        <v>2319</v>
      </c>
      <c r="P696">
        <v>10.7</v>
      </c>
    </row>
    <row r="697" spans="1:16" x14ac:dyDescent="0.35">
      <c r="A697" s="5" t="str">
        <f>HYPERLINK("https://tienda.tarracoimportexport.com/index.php?id_product=10207&amp;controller=product&amp;id_lang=4", "TR011239")</f>
        <v>TR011239</v>
      </c>
      <c r="B697" t="s">
        <v>2403</v>
      </c>
      <c r="D697" s="4">
        <v>3072</v>
      </c>
      <c r="E697" t="s">
        <v>2404</v>
      </c>
      <c r="F697" t="s">
        <v>164</v>
      </c>
      <c r="G697" t="s">
        <v>202</v>
      </c>
      <c r="H697">
        <v>8</v>
      </c>
      <c r="I697">
        <v>2688</v>
      </c>
      <c r="J697" t="s">
        <v>539</v>
      </c>
      <c r="K697" s="17">
        <v>1.5</v>
      </c>
      <c r="L697" s="3">
        <f t="shared" si="11"/>
        <v>0</v>
      </c>
      <c r="N697" t="s">
        <v>2405</v>
      </c>
      <c r="O697" t="s">
        <v>2319</v>
      </c>
      <c r="P697">
        <v>10.87</v>
      </c>
    </row>
    <row r="698" spans="1:16" x14ac:dyDescent="0.35">
      <c r="A698" s="5" t="str">
        <f>HYPERLINK("https://tienda.tarracoimportexport.com/index.php?id_product=10209&amp;controller=product&amp;id_lang=4", "TR011241")</f>
        <v>TR011241</v>
      </c>
      <c r="B698" t="s">
        <v>2406</v>
      </c>
      <c r="D698" s="4">
        <v>4656</v>
      </c>
      <c r="E698" t="s">
        <v>2407</v>
      </c>
      <c r="F698" t="s">
        <v>115</v>
      </c>
      <c r="G698" t="s">
        <v>202</v>
      </c>
      <c r="H698">
        <v>8</v>
      </c>
      <c r="I698">
        <v>2688</v>
      </c>
      <c r="J698" t="s">
        <v>539</v>
      </c>
      <c r="K698" s="17">
        <v>1.5</v>
      </c>
      <c r="L698" s="3">
        <f t="shared" si="11"/>
        <v>0</v>
      </c>
      <c r="N698" t="s">
        <v>2408</v>
      </c>
      <c r="O698" t="s">
        <v>2319</v>
      </c>
      <c r="P698">
        <v>10.55</v>
      </c>
    </row>
    <row r="699" spans="1:16" x14ac:dyDescent="0.35">
      <c r="A699" s="5" t="str">
        <f>HYPERLINK("https://tienda.tarracoimportexport.com/index.php?id_product=10315&amp;controller=product&amp;id_lang=4", "TR011318")</f>
        <v>TR011318</v>
      </c>
      <c r="B699" t="s">
        <v>2410</v>
      </c>
      <c r="D699" s="4">
        <v>1068</v>
      </c>
      <c r="E699" t="s">
        <v>2411</v>
      </c>
      <c r="F699" t="s">
        <v>967</v>
      </c>
      <c r="G699" t="s">
        <v>50</v>
      </c>
      <c r="H699">
        <v>6</v>
      </c>
      <c r="I699">
        <v>504</v>
      </c>
      <c r="J699" t="s">
        <v>334</v>
      </c>
      <c r="K699" s="17">
        <v>2.37</v>
      </c>
      <c r="L699" s="3">
        <f t="shared" si="11"/>
        <v>0</v>
      </c>
      <c r="N699" t="s">
        <v>2412</v>
      </c>
      <c r="O699" t="s">
        <v>2413</v>
      </c>
      <c r="P699">
        <v>13.435</v>
      </c>
    </row>
    <row r="700" spans="1:16" x14ac:dyDescent="0.35">
      <c r="A700" s="5" t="str">
        <f>HYPERLINK("https://tienda.tarracoimportexport.com/index.php?id_product=10309&amp;controller=product&amp;id_lang=4", "TR011312")</f>
        <v>TR011312</v>
      </c>
      <c r="B700" t="s">
        <v>2414</v>
      </c>
      <c r="D700" s="4">
        <v>9744</v>
      </c>
      <c r="E700" t="s">
        <v>2415</v>
      </c>
      <c r="F700" t="s">
        <v>757</v>
      </c>
      <c r="G700" t="s">
        <v>50</v>
      </c>
      <c r="H700">
        <v>6</v>
      </c>
      <c r="I700">
        <v>504</v>
      </c>
      <c r="J700" t="s">
        <v>334</v>
      </c>
      <c r="K700" s="17">
        <v>2.37</v>
      </c>
      <c r="L700" s="3">
        <f t="shared" si="11"/>
        <v>0</v>
      </c>
      <c r="N700" t="s">
        <v>2416</v>
      </c>
      <c r="O700" t="s">
        <v>2413</v>
      </c>
      <c r="P700">
        <v>13.54</v>
      </c>
    </row>
    <row r="701" spans="1:16" x14ac:dyDescent="0.35">
      <c r="A701" s="5" t="str">
        <f>HYPERLINK("https://tienda.tarracoimportexport.com/index.php?id_product=10310&amp;controller=product&amp;id_lang=4", "TR011313")</f>
        <v>TR011313</v>
      </c>
      <c r="B701" t="s">
        <v>2417</v>
      </c>
      <c r="D701" s="4">
        <v>264</v>
      </c>
      <c r="E701" t="s">
        <v>2418</v>
      </c>
      <c r="F701" t="s">
        <v>1109</v>
      </c>
      <c r="G701" t="s">
        <v>50</v>
      </c>
      <c r="H701">
        <v>6</v>
      </c>
      <c r="I701">
        <v>504</v>
      </c>
      <c r="J701" t="s">
        <v>334</v>
      </c>
      <c r="K701" s="17">
        <v>2.37</v>
      </c>
      <c r="L701" s="3">
        <f t="shared" si="11"/>
        <v>0</v>
      </c>
      <c r="N701" t="s">
        <v>2419</v>
      </c>
      <c r="O701" t="s">
        <v>2413</v>
      </c>
      <c r="P701">
        <v>12.83</v>
      </c>
    </row>
    <row r="702" spans="1:16" x14ac:dyDescent="0.35">
      <c r="A702" s="5" t="str">
        <f>HYPERLINK("https://tienda.tarracoimportexport.com/index.php?id_product=10312&amp;controller=product&amp;id_lang=4", "TR011315")</f>
        <v>TR011315</v>
      </c>
      <c r="B702" t="s">
        <v>2420</v>
      </c>
      <c r="D702" s="4">
        <v>516</v>
      </c>
      <c r="E702" t="s">
        <v>2421</v>
      </c>
      <c r="F702" t="s">
        <v>105</v>
      </c>
      <c r="G702" t="s">
        <v>50</v>
      </c>
      <c r="H702">
        <v>6</v>
      </c>
      <c r="I702">
        <v>504</v>
      </c>
      <c r="J702" t="s">
        <v>334</v>
      </c>
      <c r="K702" s="17">
        <v>2.37</v>
      </c>
      <c r="L702" s="3">
        <f t="shared" si="11"/>
        <v>0</v>
      </c>
      <c r="N702" t="s">
        <v>2422</v>
      </c>
      <c r="O702" t="s">
        <v>2423</v>
      </c>
      <c r="P702">
        <v>14.09</v>
      </c>
    </row>
    <row r="703" spans="1:16" x14ac:dyDescent="0.35">
      <c r="A703" s="5" t="str">
        <f>HYPERLINK("https://tienda.tarracoimportexport.com/index.php?id_product=10314&amp;controller=product&amp;id_lang=4", "TR011317")</f>
        <v>TR011317</v>
      </c>
      <c r="B703" t="s">
        <v>2424</v>
      </c>
      <c r="D703" s="4">
        <v>828</v>
      </c>
      <c r="E703" t="s">
        <v>2425</v>
      </c>
      <c r="F703" t="s">
        <v>164</v>
      </c>
      <c r="G703" t="s">
        <v>50</v>
      </c>
      <c r="H703">
        <v>6</v>
      </c>
      <c r="I703">
        <v>504</v>
      </c>
      <c r="J703" t="s">
        <v>334</v>
      </c>
      <c r="K703" s="17">
        <v>2.37</v>
      </c>
      <c r="L703" s="3">
        <f t="shared" si="11"/>
        <v>0</v>
      </c>
      <c r="N703" t="s">
        <v>2426</v>
      </c>
      <c r="O703" t="s">
        <v>2409</v>
      </c>
      <c r="P703">
        <v>13.1</v>
      </c>
    </row>
    <row r="704" spans="1:16" x14ac:dyDescent="0.35">
      <c r="A704" s="5" t="str">
        <f>HYPERLINK("https://tienda.tarracoimportexport.com/index.php?id_product=10313&amp;controller=product&amp;id_lang=4", "TR011316")</f>
        <v>TR011316</v>
      </c>
      <c r="B704" t="s">
        <v>2427</v>
      </c>
      <c r="D704" s="4">
        <v>336</v>
      </c>
      <c r="E704" t="s">
        <v>2428</v>
      </c>
      <c r="F704" t="s">
        <v>164</v>
      </c>
      <c r="G704" t="s">
        <v>50</v>
      </c>
      <c r="H704">
        <v>6</v>
      </c>
      <c r="I704">
        <v>504</v>
      </c>
      <c r="J704" t="s">
        <v>334</v>
      </c>
      <c r="K704" s="17">
        <v>2.37</v>
      </c>
      <c r="L704" s="3">
        <f t="shared" si="11"/>
        <v>0</v>
      </c>
      <c r="N704" t="s">
        <v>2429</v>
      </c>
      <c r="O704" t="s">
        <v>2409</v>
      </c>
      <c r="P704">
        <v>13.11</v>
      </c>
    </row>
    <row r="705" spans="1:16" x14ac:dyDescent="0.35">
      <c r="A705" s="5" t="str">
        <f>HYPERLINK("https://tienda.tarracoimportexport.com/index.php?id_product=10320&amp;controller=product&amp;id_lang=4", "TR011323")</f>
        <v>TR011323</v>
      </c>
      <c r="B705" t="s">
        <v>2430</v>
      </c>
      <c r="D705" s="4">
        <v>1536</v>
      </c>
      <c r="E705" t="s">
        <v>2431</v>
      </c>
      <c r="F705" t="s">
        <v>318</v>
      </c>
      <c r="G705" t="s">
        <v>202</v>
      </c>
      <c r="H705">
        <v>8</v>
      </c>
      <c r="I705">
        <v>2688</v>
      </c>
      <c r="J705" t="s">
        <v>539</v>
      </c>
      <c r="K705" s="17">
        <v>1.79</v>
      </c>
      <c r="L705" s="3">
        <f t="shared" si="11"/>
        <v>0</v>
      </c>
      <c r="N705" t="s">
        <v>2432</v>
      </c>
      <c r="O705" t="s">
        <v>2433</v>
      </c>
      <c r="P705">
        <v>10</v>
      </c>
    </row>
    <row r="706" spans="1:16" x14ac:dyDescent="0.35">
      <c r="A706" s="5" t="str">
        <f>HYPERLINK("https://tienda.tarracoimportexport.com/index.php?id_product=10322&amp;controller=product&amp;id_lang=4", "TR011324")</f>
        <v>TR011324</v>
      </c>
      <c r="B706" t="s">
        <v>2434</v>
      </c>
      <c r="D706" s="4">
        <v>1536</v>
      </c>
      <c r="E706" t="s">
        <v>2435</v>
      </c>
      <c r="F706" t="s">
        <v>718</v>
      </c>
      <c r="G706" t="s">
        <v>202</v>
      </c>
      <c r="H706">
        <v>8</v>
      </c>
      <c r="I706">
        <v>2688</v>
      </c>
      <c r="J706" t="s">
        <v>539</v>
      </c>
      <c r="K706" s="17">
        <v>1.79</v>
      </c>
      <c r="L706" s="3">
        <f t="shared" si="11"/>
        <v>0</v>
      </c>
      <c r="N706" t="s">
        <v>2436</v>
      </c>
      <c r="O706" t="s">
        <v>2433</v>
      </c>
      <c r="P706">
        <v>10.145</v>
      </c>
    </row>
    <row r="707" spans="1:16" x14ac:dyDescent="0.35">
      <c r="A707" s="5" t="str">
        <f>HYPERLINK("https://tienda.tarracoimportexport.com/index.php?id_product=10323&amp;controller=product&amp;id_lang=4", "TR011325")</f>
        <v>TR011325</v>
      </c>
      <c r="B707" t="s">
        <v>2437</v>
      </c>
      <c r="D707" s="4">
        <v>744</v>
      </c>
      <c r="E707" t="s">
        <v>2438</v>
      </c>
      <c r="F707" t="s">
        <v>718</v>
      </c>
      <c r="G707" t="s">
        <v>106</v>
      </c>
      <c r="H707">
        <v>6</v>
      </c>
      <c r="I707">
        <v>1008</v>
      </c>
      <c r="J707" t="s">
        <v>334</v>
      </c>
      <c r="K707" s="17">
        <v>4.6399999999999997</v>
      </c>
      <c r="L707" s="3">
        <f t="shared" si="11"/>
        <v>0</v>
      </c>
      <c r="N707" t="s">
        <v>2439</v>
      </c>
      <c r="O707" t="s">
        <v>2440</v>
      </c>
      <c r="P707">
        <v>13.574999999999999</v>
      </c>
    </row>
    <row r="708" spans="1:16" x14ac:dyDescent="0.35">
      <c r="A708" s="5" t="str">
        <f>HYPERLINK("https://tienda.tarracoimportexport.com/index.php?id_product=10324&amp;controller=product&amp;id_lang=4", "TR011326")</f>
        <v>TR011326</v>
      </c>
      <c r="B708" t="s">
        <v>2441</v>
      </c>
      <c r="D708" s="4">
        <v>744</v>
      </c>
      <c r="E708" t="s">
        <v>2442</v>
      </c>
      <c r="F708" t="s">
        <v>1661</v>
      </c>
      <c r="G708" t="s">
        <v>106</v>
      </c>
      <c r="H708">
        <v>6</v>
      </c>
      <c r="I708">
        <v>1008</v>
      </c>
      <c r="J708" t="s">
        <v>334</v>
      </c>
      <c r="K708" s="17">
        <v>4.6399999999999997</v>
      </c>
      <c r="L708" s="3">
        <f t="shared" si="11"/>
        <v>0</v>
      </c>
      <c r="N708" t="s">
        <v>2443</v>
      </c>
      <c r="O708" t="s">
        <v>2444</v>
      </c>
      <c r="P708">
        <v>13.045</v>
      </c>
    </row>
    <row r="709" spans="1:16" x14ac:dyDescent="0.35">
      <c r="A709" s="5" t="str">
        <f>HYPERLINK("https://tienda.tarracoimportexport.com/index.php?id_product=10325&amp;controller=product&amp;id_lang=4", "TR011327")</f>
        <v>TR011327</v>
      </c>
      <c r="B709" t="s">
        <v>2445</v>
      </c>
      <c r="D709" s="4">
        <v>5928</v>
      </c>
      <c r="E709" t="s">
        <v>2446</v>
      </c>
      <c r="F709" t="s">
        <v>967</v>
      </c>
      <c r="G709" t="s">
        <v>50</v>
      </c>
      <c r="H709">
        <v>13</v>
      </c>
      <c r="I709">
        <v>2340</v>
      </c>
      <c r="J709" t="s">
        <v>77</v>
      </c>
      <c r="K709" s="17">
        <v>1.5</v>
      </c>
      <c r="L709" s="3">
        <f t="shared" si="11"/>
        <v>0</v>
      </c>
      <c r="N709" t="s">
        <v>2447</v>
      </c>
      <c r="O709" t="s">
        <v>2448</v>
      </c>
      <c r="P709">
        <v>6.97</v>
      </c>
    </row>
    <row r="710" spans="1:16" x14ac:dyDescent="0.35">
      <c r="A710" s="5" t="str">
        <f>HYPERLINK("https://tienda.tarracoimportexport.com/index.php?id_product=10328&amp;controller=product&amp;id_lang=4", "TR011330")</f>
        <v>TR011330</v>
      </c>
      <c r="B710" t="s">
        <v>2449</v>
      </c>
      <c r="D710" s="4">
        <v>6084</v>
      </c>
      <c r="E710" t="s">
        <v>2450</v>
      </c>
      <c r="F710" t="s">
        <v>1666</v>
      </c>
      <c r="G710" t="s">
        <v>50</v>
      </c>
      <c r="H710">
        <v>13</v>
      </c>
      <c r="I710">
        <v>2340</v>
      </c>
      <c r="J710" t="s">
        <v>77</v>
      </c>
      <c r="K710" s="17">
        <v>1.5</v>
      </c>
      <c r="L710" s="3">
        <f t="shared" si="11"/>
        <v>0</v>
      </c>
      <c r="N710" t="s">
        <v>2451</v>
      </c>
      <c r="O710" t="s">
        <v>2448</v>
      </c>
      <c r="P710">
        <v>6.76</v>
      </c>
    </row>
    <row r="711" spans="1:16" x14ac:dyDescent="0.35">
      <c r="A711" s="5" t="str">
        <f>HYPERLINK("https://tienda.tarracoimportexport.com/index.php?id_product=10331&amp;controller=product&amp;id_lang=4", "TR011333")</f>
        <v>TR011333</v>
      </c>
      <c r="B711" t="s">
        <v>2452</v>
      </c>
      <c r="D711" s="4">
        <v>5952</v>
      </c>
      <c r="E711" t="s">
        <v>2453</v>
      </c>
      <c r="F711" t="s">
        <v>115</v>
      </c>
      <c r="G711" t="s">
        <v>50</v>
      </c>
      <c r="H711">
        <v>13</v>
      </c>
      <c r="I711">
        <v>2340</v>
      </c>
      <c r="J711" t="s">
        <v>77</v>
      </c>
      <c r="K711" s="17">
        <v>1.5</v>
      </c>
      <c r="L711" s="3">
        <f t="shared" si="11"/>
        <v>0</v>
      </c>
      <c r="N711" t="s">
        <v>2454</v>
      </c>
      <c r="O711" t="s">
        <v>2448</v>
      </c>
      <c r="P711">
        <v>6.95</v>
      </c>
    </row>
    <row r="712" spans="1:16" x14ac:dyDescent="0.35">
      <c r="A712" s="5" t="str">
        <f>HYPERLINK("https://tienda.tarracoimportexport.com/index.php?id_product=10830&amp;controller=product&amp;id_lang=4", "TR011777")</f>
        <v>TR011777</v>
      </c>
      <c r="B712" t="s">
        <v>2455</v>
      </c>
      <c r="D712" s="4">
        <v>9324</v>
      </c>
      <c r="E712" t="s">
        <v>2456</v>
      </c>
      <c r="F712" t="s">
        <v>1666</v>
      </c>
      <c r="G712" t="s">
        <v>50</v>
      </c>
      <c r="H712">
        <v>13</v>
      </c>
      <c r="I712">
        <v>2340</v>
      </c>
      <c r="J712" t="s">
        <v>77</v>
      </c>
      <c r="K712" s="17">
        <v>1.5</v>
      </c>
      <c r="L712" s="3">
        <f t="shared" si="11"/>
        <v>0</v>
      </c>
      <c r="N712" t="s">
        <v>2457</v>
      </c>
      <c r="O712" t="s">
        <v>2458</v>
      </c>
      <c r="P712">
        <v>3.47</v>
      </c>
    </row>
    <row r="713" spans="1:16" x14ac:dyDescent="0.35">
      <c r="A713" s="5" t="str">
        <f>HYPERLINK("https://tienda.tarracoimportexport.com/index.php?id_product=10335&amp;controller=product&amp;id_lang=4", "TR011337")</f>
        <v>TR011337</v>
      </c>
      <c r="B713" t="s">
        <v>2459</v>
      </c>
      <c r="D713" s="4">
        <v>96</v>
      </c>
      <c r="E713" t="s">
        <v>2456</v>
      </c>
      <c r="F713" t="s">
        <v>115</v>
      </c>
      <c r="G713" t="s">
        <v>106</v>
      </c>
      <c r="H713">
        <v>13</v>
      </c>
      <c r="I713">
        <v>4680</v>
      </c>
      <c r="J713" t="s">
        <v>77</v>
      </c>
      <c r="K713" s="17">
        <v>1.5</v>
      </c>
      <c r="L713" s="3">
        <f t="shared" si="11"/>
        <v>0</v>
      </c>
      <c r="N713" t="s">
        <v>2460</v>
      </c>
      <c r="O713" t="s">
        <v>2458</v>
      </c>
      <c r="P713">
        <v>7.02</v>
      </c>
    </row>
    <row r="714" spans="1:16" x14ac:dyDescent="0.35">
      <c r="A714" s="5" t="str">
        <f>HYPERLINK("https://tienda.tarracoimportexport.com/index.php?id_product=10326&amp;controller=product&amp;id_lang=4", "TR011328")</f>
        <v>TR011328</v>
      </c>
      <c r="B714" t="s">
        <v>2461</v>
      </c>
      <c r="D714" s="4">
        <v>13080</v>
      </c>
      <c r="E714" t="s">
        <v>2462</v>
      </c>
      <c r="F714" t="s">
        <v>164</v>
      </c>
      <c r="G714" t="s">
        <v>50</v>
      </c>
      <c r="H714">
        <v>8</v>
      </c>
      <c r="I714">
        <v>1536</v>
      </c>
      <c r="J714" t="s">
        <v>628</v>
      </c>
      <c r="K714" s="17">
        <v>2.14</v>
      </c>
      <c r="L714" s="3">
        <f t="shared" si="11"/>
        <v>0</v>
      </c>
      <c r="N714" t="s">
        <v>2463</v>
      </c>
      <c r="O714" t="s">
        <v>2464</v>
      </c>
      <c r="P714">
        <v>13.4</v>
      </c>
    </row>
    <row r="715" spans="1:16" x14ac:dyDescent="0.35">
      <c r="A715" s="5" t="str">
        <f>HYPERLINK("https://tienda.tarracoimportexport.com/index.php?id_product=10329&amp;controller=product&amp;id_lang=4", "TR011331")</f>
        <v>TR011331</v>
      </c>
      <c r="B715" t="s">
        <v>2465</v>
      </c>
      <c r="D715" s="4">
        <v>1920</v>
      </c>
      <c r="E715" t="s">
        <v>2466</v>
      </c>
      <c r="F715" t="s">
        <v>115</v>
      </c>
      <c r="G715" t="s">
        <v>106</v>
      </c>
      <c r="H715">
        <v>8</v>
      </c>
      <c r="I715">
        <v>1344</v>
      </c>
      <c r="J715" t="s">
        <v>539</v>
      </c>
      <c r="K715" s="17">
        <v>2.14</v>
      </c>
      <c r="L715" s="3">
        <f t="shared" si="11"/>
        <v>0</v>
      </c>
      <c r="N715" t="s">
        <v>2467</v>
      </c>
      <c r="O715" t="s">
        <v>2468</v>
      </c>
      <c r="P715">
        <v>13.67</v>
      </c>
    </row>
    <row r="716" spans="1:16" x14ac:dyDescent="0.35">
      <c r="A716" s="5" t="str">
        <f>HYPERLINK("https://tienda.tarracoimportexport.com/index.php?id_product=10332&amp;controller=product&amp;id_lang=4", "TR011334")</f>
        <v>TR011334</v>
      </c>
      <c r="B716" t="s">
        <v>2469</v>
      </c>
      <c r="D716" s="4">
        <v>15036</v>
      </c>
      <c r="E716" t="s">
        <v>2470</v>
      </c>
      <c r="F716" t="s">
        <v>164</v>
      </c>
      <c r="G716" t="s">
        <v>50</v>
      </c>
      <c r="H716">
        <v>8</v>
      </c>
      <c r="I716">
        <v>1536</v>
      </c>
      <c r="J716" t="s">
        <v>628</v>
      </c>
      <c r="K716" s="17">
        <v>2.14</v>
      </c>
      <c r="L716" s="3">
        <f t="shared" si="11"/>
        <v>0</v>
      </c>
      <c r="N716" t="s">
        <v>2471</v>
      </c>
      <c r="O716" t="s">
        <v>2458</v>
      </c>
      <c r="P716">
        <v>13.01</v>
      </c>
    </row>
    <row r="717" spans="1:16" x14ac:dyDescent="0.35">
      <c r="A717" s="5" t="str">
        <f>HYPERLINK("https://tienda.tarracoimportexport.com/index.php?id_product=10336&amp;controller=product&amp;id_lang=4", "TR011338")</f>
        <v>TR011338</v>
      </c>
      <c r="B717" t="s">
        <v>2472</v>
      </c>
      <c r="D717" s="4">
        <v>1992</v>
      </c>
      <c r="E717" t="s">
        <v>2473</v>
      </c>
      <c r="F717" t="s">
        <v>115</v>
      </c>
      <c r="G717" t="s">
        <v>106</v>
      </c>
      <c r="H717">
        <v>8</v>
      </c>
      <c r="I717">
        <v>1344</v>
      </c>
      <c r="J717" t="s">
        <v>539</v>
      </c>
      <c r="K717" s="17">
        <v>2.14</v>
      </c>
      <c r="L717" s="3">
        <f t="shared" si="11"/>
        <v>0</v>
      </c>
      <c r="N717" t="s">
        <v>2474</v>
      </c>
      <c r="O717" t="s">
        <v>2458</v>
      </c>
      <c r="P717">
        <v>13.2</v>
      </c>
    </row>
    <row r="718" spans="1:16" x14ac:dyDescent="0.35">
      <c r="A718" s="5" t="str">
        <f>HYPERLINK("https://tienda.tarracoimportexport.com/index.php?id_product=10327&amp;controller=product&amp;id_lang=4", "TR011329")</f>
        <v>TR011329</v>
      </c>
      <c r="B718" t="s">
        <v>2475</v>
      </c>
      <c r="D718" s="4">
        <v>396</v>
      </c>
      <c r="E718" t="s">
        <v>2476</v>
      </c>
      <c r="F718" t="s">
        <v>1995</v>
      </c>
      <c r="G718" t="s">
        <v>50</v>
      </c>
      <c r="H718">
        <v>6</v>
      </c>
      <c r="I718">
        <v>504</v>
      </c>
      <c r="J718" t="s">
        <v>334</v>
      </c>
      <c r="K718" s="17">
        <v>3.23</v>
      </c>
      <c r="L718" s="3">
        <f t="shared" si="11"/>
        <v>0</v>
      </c>
      <c r="N718" t="s">
        <v>2477</v>
      </c>
      <c r="O718" t="s">
        <v>2478</v>
      </c>
      <c r="P718">
        <v>12.994999999999999</v>
      </c>
    </row>
    <row r="719" spans="1:16" x14ac:dyDescent="0.35">
      <c r="A719" s="5" t="str">
        <f>HYPERLINK("https://tienda.tarracoimportexport.com/index.php?id_product=10330&amp;controller=product&amp;id_lang=4", "TR011332")</f>
        <v>TR011332</v>
      </c>
      <c r="B719" t="s">
        <v>2479</v>
      </c>
      <c r="D719" s="4">
        <v>432</v>
      </c>
      <c r="E719" t="s">
        <v>2480</v>
      </c>
      <c r="F719" t="s">
        <v>115</v>
      </c>
      <c r="G719" t="s">
        <v>50</v>
      </c>
      <c r="H719">
        <v>6</v>
      </c>
      <c r="I719">
        <v>792</v>
      </c>
      <c r="J719" t="s">
        <v>107</v>
      </c>
      <c r="K719" s="17">
        <v>3.23</v>
      </c>
      <c r="L719" s="3">
        <f t="shared" si="11"/>
        <v>0</v>
      </c>
      <c r="N719" t="s">
        <v>2481</v>
      </c>
      <c r="O719" t="s">
        <v>2482</v>
      </c>
      <c r="P719">
        <v>13.26</v>
      </c>
    </row>
    <row r="720" spans="1:16" x14ac:dyDescent="0.35">
      <c r="A720" s="5" t="str">
        <f>HYPERLINK("https://tienda.tarracoimportexport.com/index.php?id_product=10334&amp;controller=product&amp;id_lang=4", "TR011336")</f>
        <v>TR011336</v>
      </c>
      <c r="B720" t="s">
        <v>2483</v>
      </c>
      <c r="D720" s="4">
        <v>204</v>
      </c>
      <c r="E720" t="s">
        <v>2484</v>
      </c>
      <c r="F720" t="s">
        <v>718</v>
      </c>
      <c r="G720" t="s">
        <v>50</v>
      </c>
      <c r="H720">
        <v>6</v>
      </c>
      <c r="I720">
        <v>792</v>
      </c>
      <c r="J720" t="s">
        <v>107</v>
      </c>
      <c r="K720" s="17">
        <v>3.23</v>
      </c>
      <c r="L720" s="3">
        <f t="shared" si="11"/>
        <v>0</v>
      </c>
      <c r="N720" t="s">
        <v>2485</v>
      </c>
      <c r="O720" t="s">
        <v>2482</v>
      </c>
      <c r="P720">
        <v>12.975</v>
      </c>
    </row>
    <row r="721" spans="1:16" x14ac:dyDescent="0.35">
      <c r="A721" s="5" t="str">
        <f>HYPERLINK("https://tienda.tarracoimportexport.com/index.php?id_product=10333&amp;controller=product&amp;id_lang=4", "TR011335")</f>
        <v>TR011335</v>
      </c>
      <c r="B721" t="s">
        <v>2486</v>
      </c>
      <c r="D721" s="4">
        <v>768</v>
      </c>
      <c r="E721" t="s">
        <v>2487</v>
      </c>
      <c r="F721" t="s">
        <v>718</v>
      </c>
      <c r="G721" t="s">
        <v>50</v>
      </c>
      <c r="H721">
        <v>6</v>
      </c>
      <c r="I721">
        <v>792</v>
      </c>
      <c r="J721" t="s">
        <v>107</v>
      </c>
      <c r="K721" s="17">
        <v>3.23</v>
      </c>
      <c r="L721" s="3">
        <f t="shared" si="11"/>
        <v>0</v>
      </c>
      <c r="N721" t="s">
        <v>2488</v>
      </c>
      <c r="O721" t="s">
        <v>2478</v>
      </c>
      <c r="P721">
        <v>12.99</v>
      </c>
    </row>
    <row r="722" spans="1:16" x14ac:dyDescent="0.35">
      <c r="A722" s="5" t="str">
        <f>HYPERLINK("https://tienda.tarracoimportexport.com/index.php?id_product=9418&amp;controller=product&amp;id_lang=4", "TR010486")</f>
        <v>TR010486</v>
      </c>
      <c r="B722" t="s">
        <v>2489</v>
      </c>
      <c r="D722" s="4">
        <v>2370</v>
      </c>
      <c r="E722" t="s">
        <v>2490</v>
      </c>
      <c r="F722" t="s">
        <v>16</v>
      </c>
      <c r="G722" t="s">
        <v>39</v>
      </c>
      <c r="H722">
        <v>57</v>
      </c>
      <c r="I722">
        <v>2394</v>
      </c>
      <c r="J722" t="s">
        <v>1343</v>
      </c>
      <c r="K722" s="17">
        <v>2.2000000000000002</v>
      </c>
      <c r="L722" s="3">
        <f t="shared" si="11"/>
        <v>0</v>
      </c>
      <c r="N722" t="s">
        <v>2491</v>
      </c>
      <c r="O722" t="s">
        <v>2492</v>
      </c>
      <c r="P722">
        <v>1.845</v>
      </c>
    </row>
    <row r="723" spans="1:16" x14ac:dyDescent="0.35">
      <c r="A723" s="5" t="str">
        <f>HYPERLINK("https://tienda.tarracoimportexport.com/index.php?id_product=9419&amp;controller=product&amp;id_lang=4", "TR010487")</f>
        <v>TR010487</v>
      </c>
      <c r="B723" t="s">
        <v>2493</v>
      </c>
      <c r="D723" s="4">
        <v>486</v>
      </c>
      <c r="E723" t="s">
        <v>2494</v>
      </c>
      <c r="F723" t="s">
        <v>16</v>
      </c>
      <c r="G723" t="s">
        <v>39</v>
      </c>
      <c r="H723">
        <v>57</v>
      </c>
      <c r="I723">
        <v>2394</v>
      </c>
      <c r="J723" t="s">
        <v>1343</v>
      </c>
      <c r="K723" s="17">
        <v>2.2000000000000002</v>
      </c>
      <c r="L723" s="3">
        <f t="shared" si="11"/>
        <v>0</v>
      </c>
      <c r="N723" t="s">
        <v>2495</v>
      </c>
      <c r="O723" t="s">
        <v>2492</v>
      </c>
      <c r="P723">
        <v>1.675</v>
      </c>
    </row>
    <row r="724" spans="1:16" x14ac:dyDescent="0.35">
      <c r="A724" s="5" t="str">
        <f>HYPERLINK("https://tienda.tarracoimportexport.com/index.php?id_product=9420&amp;controller=product&amp;id_lang=4", "TR010488")</f>
        <v>TR010488</v>
      </c>
      <c r="B724" t="s">
        <v>2496</v>
      </c>
      <c r="D724" s="4">
        <v>1926</v>
      </c>
      <c r="E724" t="s">
        <v>2497</v>
      </c>
      <c r="F724" t="s">
        <v>16</v>
      </c>
      <c r="G724" t="s">
        <v>39</v>
      </c>
      <c r="H724">
        <v>57</v>
      </c>
      <c r="I724">
        <v>2394</v>
      </c>
      <c r="J724" t="s">
        <v>1343</v>
      </c>
      <c r="K724" s="17">
        <v>2.2000000000000002</v>
      </c>
      <c r="L724" s="3">
        <f t="shared" si="11"/>
        <v>0</v>
      </c>
      <c r="N724" t="s">
        <v>2498</v>
      </c>
      <c r="O724" t="s">
        <v>2492</v>
      </c>
      <c r="P724">
        <v>1.68</v>
      </c>
    </row>
    <row r="725" spans="1:16" x14ac:dyDescent="0.35">
      <c r="A725" s="5" t="str">
        <f>HYPERLINK("https://tienda.tarracoimportexport.com/index.php?id_product=9421&amp;controller=product&amp;id_lang=4", "TR010489")</f>
        <v>TR010489</v>
      </c>
      <c r="B725" t="s">
        <v>2499</v>
      </c>
      <c r="D725" s="4">
        <v>1680</v>
      </c>
      <c r="E725" t="s">
        <v>2500</v>
      </c>
      <c r="F725" t="s">
        <v>16</v>
      </c>
      <c r="G725" t="s">
        <v>39</v>
      </c>
      <c r="H725">
        <v>57</v>
      </c>
      <c r="I725">
        <v>2394</v>
      </c>
      <c r="J725" t="s">
        <v>1343</v>
      </c>
      <c r="K725" s="17">
        <v>2.2000000000000002</v>
      </c>
      <c r="L725" s="3">
        <f t="shared" si="11"/>
        <v>0</v>
      </c>
      <c r="N725" t="s">
        <v>2501</v>
      </c>
      <c r="O725" t="s">
        <v>2492</v>
      </c>
      <c r="P725">
        <v>1.675</v>
      </c>
    </row>
    <row r="726" spans="1:16" x14ac:dyDescent="0.35">
      <c r="A726" s="5" t="str">
        <f>HYPERLINK("https://tienda.tarracoimportexport.com/index.php?id_product=9422&amp;controller=product&amp;id_lang=4", "TR010490")</f>
        <v>TR010490</v>
      </c>
      <c r="B726" t="s">
        <v>2502</v>
      </c>
      <c r="D726" s="4">
        <v>1944</v>
      </c>
      <c r="E726" t="s">
        <v>2503</v>
      </c>
      <c r="F726" t="s">
        <v>16</v>
      </c>
      <c r="G726" t="s">
        <v>39</v>
      </c>
      <c r="H726">
        <v>57</v>
      </c>
      <c r="I726">
        <v>2394</v>
      </c>
      <c r="J726" t="s">
        <v>1343</v>
      </c>
      <c r="K726" s="17">
        <v>2.2000000000000002</v>
      </c>
      <c r="L726" s="3">
        <f t="shared" si="11"/>
        <v>0</v>
      </c>
      <c r="N726" t="s">
        <v>2504</v>
      </c>
      <c r="O726" t="s">
        <v>2492</v>
      </c>
      <c r="P726">
        <v>1.675</v>
      </c>
    </row>
    <row r="727" spans="1:16" x14ac:dyDescent="0.35">
      <c r="A727" s="5" t="str">
        <f>HYPERLINK("https://tienda.tarracoimportexport.com/index.php?id_product=9264&amp;controller=product&amp;id_lang=4", "TR010337")</f>
        <v>TR010337</v>
      </c>
      <c r="B727" t="s">
        <v>2505</v>
      </c>
      <c r="D727" s="4">
        <v>2658</v>
      </c>
      <c r="E727" t="s">
        <v>2506</v>
      </c>
      <c r="F727" t="s">
        <v>16</v>
      </c>
      <c r="G727" t="s">
        <v>39</v>
      </c>
      <c r="H727">
        <v>28</v>
      </c>
      <c r="I727">
        <v>1680</v>
      </c>
      <c r="J727" t="s">
        <v>496</v>
      </c>
      <c r="K727" s="17">
        <v>3.7</v>
      </c>
      <c r="L727" s="3">
        <f t="shared" si="11"/>
        <v>0</v>
      </c>
      <c r="N727" t="s">
        <v>2507</v>
      </c>
      <c r="O727" t="s">
        <v>2508</v>
      </c>
      <c r="P727">
        <v>1.85</v>
      </c>
    </row>
    <row r="728" spans="1:16" x14ac:dyDescent="0.35">
      <c r="A728" s="5" t="str">
        <f>HYPERLINK("https://tienda.tarracoimportexport.com/index.php?id_product=9265&amp;controller=product&amp;id_lang=4", "TR010338")</f>
        <v>TR010338</v>
      </c>
      <c r="B728" t="s">
        <v>2509</v>
      </c>
      <c r="D728" s="4">
        <v>4434</v>
      </c>
      <c r="E728" t="s">
        <v>2510</v>
      </c>
      <c r="F728" t="s">
        <v>16</v>
      </c>
      <c r="G728" t="s">
        <v>39</v>
      </c>
      <c r="H728">
        <v>40</v>
      </c>
      <c r="I728">
        <v>2160</v>
      </c>
      <c r="J728" t="s">
        <v>2511</v>
      </c>
      <c r="K728" s="17">
        <v>3.7</v>
      </c>
      <c r="L728" s="3">
        <f t="shared" si="11"/>
        <v>0</v>
      </c>
      <c r="N728" t="s">
        <v>2512</v>
      </c>
      <c r="O728" t="s">
        <v>2508</v>
      </c>
      <c r="P728">
        <v>1.85</v>
      </c>
    </row>
    <row r="729" spans="1:16" x14ac:dyDescent="0.35">
      <c r="A729" s="5" t="str">
        <f>HYPERLINK("https://tienda.tarracoimportexport.com/index.php?id_product=9207&amp;controller=product&amp;id_lang=4", "TR010282")</f>
        <v>TR010282</v>
      </c>
      <c r="B729" t="s">
        <v>2513</v>
      </c>
      <c r="D729" s="4">
        <v>2436</v>
      </c>
      <c r="E729" t="s">
        <v>2514</v>
      </c>
      <c r="F729" t="s">
        <v>16</v>
      </c>
      <c r="G729" t="s">
        <v>39</v>
      </c>
      <c r="H729">
        <v>28</v>
      </c>
      <c r="I729">
        <v>1680</v>
      </c>
      <c r="J729" t="s">
        <v>496</v>
      </c>
      <c r="K729" s="17">
        <v>3.7</v>
      </c>
      <c r="L729" s="3">
        <f t="shared" si="11"/>
        <v>0</v>
      </c>
      <c r="N729" t="s">
        <v>2515</v>
      </c>
      <c r="O729" t="s">
        <v>2508</v>
      </c>
      <c r="P729">
        <v>1.64</v>
      </c>
    </row>
    <row r="730" spans="1:16" x14ac:dyDescent="0.35">
      <c r="A730" s="5" t="str">
        <f>HYPERLINK("https://tienda.tarracoimportexport.com/index.php?id_product=9204&amp;controller=product&amp;id_lang=4", "TR010279")</f>
        <v>TR010279</v>
      </c>
      <c r="B730" t="s">
        <v>2516</v>
      </c>
      <c r="D730" s="4">
        <v>3672</v>
      </c>
      <c r="E730" t="s">
        <v>2517</v>
      </c>
      <c r="F730" t="s">
        <v>16</v>
      </c>
      <c r="G730" t="s">
        <v>39</v>
      </c>
      <c r="H730">
        <v>40</v>
      </c>
      <c r="I730">
        <v>2160</v>
      </c>
      <c r="J730" t="s">
        <v>2511</v>
      </c>
      <c r="K730" s="17">
        <v>3.7</v>
      </c>
      <c r="L730" s="3">
        <f t="shared" si="11"/>
        <v>0</v>
      </c>
      <c r="N730" t="s">
        <v>2518</v>
      </c>
      <c r="O730" t="s">
        <v>2508</v>
      </c>
      <c r="P730">
        <v>1.88</v>
      </c>
    </row>
    <row r="731" spans="1:16" x14ac:dyDescent="0.35">
      <c r="A731" s="5" t="str">
        <f>HYPERLINK("https://tienda.tarracoimportexport.com/index.php?id_product=9785&amp;controller=product&amp;id_lang=4", "TR010833")</f>
        <v>TR010833</v>
      </c>
      <c r="B731" t="s">
        <v>2519</v>
      </c>
      <c r="D731" s="4">
        <v>4698</v>
      </c>
      <c r="E731" t="s">
        <v>2520</v>
      </c>
      <c r="F731" t="s">
        <v>16</v>
      </c>
      <c r="G731" t="s">
        <v>39</v>
      </c>
      <c r="H731">
        <v>37</v>
      </c>
      <c r="I731">
        <v>2664</v>
      </c>
      <c r="J731" t="s">
        <v>2521</v>
      </c>
      <c r="K731" s="17">
        <v>2.95</v>
      </c>
      <c r="L731" s="3">
        <f t="shared" si="11"/>
        <v>0</v>
      </c>
      <c r="N731" t="s">
        <v>2522</v>
      </c>
      <c r="O731" t="s">
        <v>2523</v>
      </c>
      <c r="P731">
        <v>1.79</v>
      </c>
    </row>
    <row r="732" spans="1:16" x14ac:dyDescent="0.35">
      <c r="A732" s="5" t="str">
        <f>HYPERLINK("https://tienda.tarracoimportexport.com/index.php?id_product=9784&amp;controller=product&amp;id_lang=4", "TR010832")</f>
        <v>TR010832</v>
      </c>
      <c r="B732" t="s">
        <v>2524</v>
      </c>
      <c r="D732" s="4">
        <v>7860</v>
      </c>
      <c r="E732" t="s">
        <v>2525</v>
      </c>
      <c r="F732" t="s">
        <v>16</v>
      </c>
      <c r="G732" t="s">
        <v>39</v>
      </c>
      <c r="H732">
        <v>37</v>
      </c>
      <c r="I732">
        <v>2664</v>
      </c>
      <c r="J732" t="s">
        <v>2521</v>
      </c>
      <c r="K732" s="17">
        <v>2.95</v>
      </c>
      <c r="L732" s="3">
        <f t="shared" si="11"/>
        <v>0</v>
      </c>
      <c r="N732" t="s">
        <v>2526</v>
      </c>
      <c r="O732" t="s">
        <v>2523</v>
      </c>
      <c r="P732">
        <v>1.78</v>
      </c>
    </row>
    <row r="733" spans="1:16" x14ac:dyDescent="0.35">
      <c r="A733" s="5" t="str">
        <f>HYPERLINK("https://tienda.tarracoimportexport.com/index.php?id_product=9208&amp;controller=product&amp;id_lang=4", "TR010283")</f>
        <v>TR010283</v>
      </c>
      <c r="B733" t="s">
        <v>2527</v>
      </c>
      <c r="D733" s="4">
        <v>714</v>
      </c>
      <c r="E733" t="s">
        <v>2528</v>
      </c>
      <c r="F733" t="s">
        <v>16</v>
      </c>
      <c r="G733" t="s">
        <v>39</v>
      </c>
      <c r="H733">
        <v>28</v>
      </c>
      <c r="I733">
        <v>1680</v>
      </c>
      <c r="J733" t="s">
        <v>496</v>
      </c>
      <c r="K733" s="17">
        <v>3.7</v>
      </c>
      <c r="L733" s="3">
        <f t="shared" si="11"/>
        <v>0</v>
      </c>
      <c r="N733" t="s">
        <v>2529</v>
      </c>
      <c r="O733" t="s">
        <v>2508</v>
      </c>
      <c r="P733">
        <v>1.7949999999999999</v>
      </c>
    </row>
    <row r="734" spans="1:16" x14ac:dyDescent="0.35">
      <c r="A734" s="5" t="str">
        <f>HYPERLINK("https://tienda.tarracoimportexport.com/index.php?id_product=9205&amp;controller=product&amp;id_lang=4", "TR010280")</f>
        <v>TR010280</v>
      </c>
      <c r="B734" t="s">
        <v>2530</v>
      </c>
      <c r="D734" s="4">
        <v>2082</v>
      </c>
      <c r="E734" t="s">
        <v>2531</v>
      </c>
      <c r="F734" t="s">
        <v>16</v>
      </c>
      <c r="G734" t="s">
        <v>39</v>
      </c>
      <c r="H734">
        <v>40</v>
      </c>
      <c r="I734">
        <v>2160</v>
      </c>
      <c r="J734" t="s">
        <v>2511</v>
      </c>
      <c r="K734" s="17">
        <v>3.7</v>
      </c>
      <c r="L734" s="3">
        <f t="shared" si="11"/>
        <v>0</v>
      </c>
      <c r="N734" t="s">
        <v>2532</v>
      </c>
      <c r="O734" t="s">
        <v>2508</v>
      </c>
      <c r="P734">
        <v>1.68</v>
      </c>
    </row>
    <row r="735" spans="1:16" x14ac:dyDescent="0.35">
      <c r="A735" s="5" t="str">
        <f>HYPERLINK("https://tienda.tarracoimportexport.com/index.php?id_product=9206&amp;controller=product&amp;id_lang=4", "TR010281")</f>
        <v>TR010281</v>
      </c>
      <c r="B735" t="s">
        <v>2533</v>
      </c>
      <c r="D735" s="4">
        <v>2994</v>
      </c>
      <c r="E735" t="s">
        <v>2534</v>
      </c>
      <c r="F735" t="s">
        <v>16</v>
      </c>
      <c r="G735" t="s">
        <v>39</v>
      </c>
      <c r="H735">
        <v>28</v>
      </c>
      <c r="I735">
        <v>1680</v>
      </c>
      <c r="J735" t="s">
        <v>496</v>
      </c>
      <c r="K735" s="17">
        <v>3.7</v>
      </c>
      <c r="L735" s="3">
        <f t="shared" si="11"/>
        <v>0</v>
      </c>
      <c r="N735" t="s">
        <v>2535</v>
      </c>
      <c r="O735" t="s">
        <v>2508</v>
      </c>
      <c r="P735">
        <v>1.87</v>
      </c>
    </row>
    <row r="736" spans="1:16" x14ac:dyDescent="0.35">
      <c r="A736" s="5" t="str">
        <f>HYPERLINK("https://tienda.tarracoimportexport.com/index.php?id_product=9203&amp;controller=product&amp;id_lang=4", "TR010278")</f>
        <v>TR010278</v>
      </c>
      <c r="B736" t="s">
        <v>2536</v>
      </c>
      <c r="D736" s="4">
        <v>2418</v>
      </c>
      <c r="E736" t="s">
        <v>2537</v>
      </c>
      <c r="F736" t="s">
        <v>16</v>
      </c>
      <c r="G736" t="s">
        <v>39</v>
      </c>
      <c r="H736">
        <v>40</v>
      </c>
      <c r="I736">
        <v>2160</v>
      </c>
      <c r="J736" t="s">
        <v>2511</v>
      </c>
      <c r="K736" s="17">
        <v>3.7</v>
      </c>
      <c r="L736" s="3">
        <f t="shared" si="11"/>
        <v>0</v>
      </c>
      <c r="N736" t="s">
        <v>2538</v>
      </c>
      <c r="O736" t="s">
        <v>2508</v>
      </c>
      <c r="P736">
        <v>1.79</v>
      </c>
    </row>
    <row r="737" spans="1:16" x14ac:dyDescent="0.35">
      <c r="A737" s="5" t="str">
        <f>HYPERLINK("https://tienda.tarracoimportexport.com/index.php?id_product=9266&amp;controller=product&amp;id_lang=4", "TR010339")</f>
        <v>TR010339</v>
      </c>
      <c r="B737" t="s">
        <v>2539</v>
      </c>
      <c r="D737" s="4">
        <v>709</v>
      </c>
      <c r="E737" t="s">
        <v>2540</v>
      </c>
      <c r="F737" t="s">
        <v>16</v>
      </c>
      <c r="G737" t="s">
        <v>526</v>
      </c>
      <c r="H737">
        <v>60</v>
      </c>
      <c r="I737">
        <v>360</v>
      </c>
      <c r="J737" t="s">
        <v>2511</v>
      </c>
      <c r="K737" s="17">
        <v>0</v>
      </c>
      <c r="L737" s="3">
        <f t="shared" si="11"/>
        <v>0</v>
      </c>
      <c r="N737" t="s">
        <v>2540</v>
      </c>
      <c r="O737" t="s">
        <v>1602</v>
      </c>
      <c r="P737">
        <v>0.27500000000000002</v>
      </c>
    </row>
    <row r="738" spans="1:16" x14ac:dyDescent="0.35">
      <c r="A738" s="5" t="str">
        <f>HYPERLINK("https://tienda.tarracoimportexport.com/index.php?id_product=9267&amp;controller=product&amp;id_lang=4", "TR010340")</f>
        <v>TR010340</v>
      </c>
      <c r="B738" t="s">
        <v>2541</v>
      </c>
      <c r="D738" s="4">
        <v>829</v>
      </c>
      <c r="E738" t="s">
        <v>2542</v>
      </c>
      <c r="F738" t="s">
        <v>16</v>
      </c>
      <c r="G738" t="s">
        <v>526</v>
      </c>
      <c r="H738">
        <v>60</v>
      </c>
      <c r="I738">
        <v>360</v>
      </c>
      <c r="J738" t="s">
        <v>2511</v>
      </c>
      <c r="K738" s="17">
        <v>0</v>
      </c>
      <c r="L738" s="3">
        <f t="shared" si="11"/>
        <v>0</v>
      </c>
      <c r="N738" t="s">
        <v>2542</v>
      </c>
      <c r="O738" t="s">
        <v>2543</v>
      </c>
      <c r="P738">
        <v>0.28000000000000003</v>
      </c>
    </row>
    <row r="739" spans="1:16" x14ac:dyDescent="0.35">
      <c r="A739" s="5" t="str">
        <f>HYPERLINK("https://tienda.tarracoimportexport.com/index.php?id_product=9213&amp;controller=product&amp;id_lang=4", "TR010288")</f>
        <v>TR010288</v>
      </c>
      <c r="B739" t="s">
        <v>2544</v>
      </c>
      <c r="D739" s="4">
        <v>1326</v>
      </c>
      <c r="E739" t="s">
        <v>2545</v>
      </c>
      <c r="F739" t="s">
        <v>16</v>
      </c>
      <c r="G739" t="s">
        <v>526</v>
      </c>
      <c r="H739">
        <v>240</v>
      </c>
      <c r="I739">
        <v>2160</v>
      </c>
      <c r="J739" t="s">
        <v>2546</v>
      </c>
      <c r="K739" s="17">
        <v>0</v>
      </c>
      <c r="L739" s="3">
        <f t="shared" si="11"/>
        <v>0</v>
      </c>
      <c r="N739" t="s">
        <v>2545</v>
      </c>
      <c r="O739" t="s">
        <v>2543</v>
      </c>
      <c r="P739">
        <v>0.27</v>
      </c>
    </row>
    <row r="740" spans="1:16" x14ac:dyDescent="0.35">
      <c r="A740" s="5" t="str">
        <f>HYPERLINK("https://tienda.tarracoimportexport.com/index.php?id_product=9210&amp;controller=product&amp;id_lang=4", "TR010285")</f>
        <v>TR010285</v>
      </c>
      <c r="B740" t="s">
        <v>2547</v>
      </c>
      <c r="D740" s="4">
        <v>362</v>
      </c>
      <c r="E740" t="s">
        <v>2548</v>
      </c>
      <c r="F740" t="s">
        <v>16</v>
      </c>
      <c r="G740" t="s">
        <v>526</v>
      </c>
      <c r="H740">
        <v>240</v>
      </c>
      <c r="I740">
        <v>2160</v>
      </c>
      <c r="J740" t="s">
        <v>2546</v>
      </c>
      <c r="K740" s="17">
        <v>0</v>
      </c>
      <c r="L740" s="3">
        <f t="shared" si="11"/>
        <v>0</v>
      </c>
      <c r="N740" t="s">
        <v>2548</v>
      </c>
      <c r="O740" t="s">
        <v>2543</v>
      </c>
      <c r="P740">
        <v>0.28000000000000003</v>
      </c>
    </row>
    <row r="741" spans="1:16" x14ac:dyDescent="0.35">
      <c r="A741" s="5" t="str">
        <f>HYPERLINK("https://tienda.tarracoimportexport.com/index.php?id_product=9211&amp;controller=product&amp;id_lang=4", "TR010286")</f>
        <v>TR010286</v>
      </c>
      <c r="B741" t="s">
        <v>2549</v>
      </c>
      <c r="D741" s="4">
        <v>1259</v>
      </c>
      <c r="E741" t="s">
        <v>2550</v>
      </c>
      <c r="F741" t="s">
        <v>16</v>
      </c>
      <c r="G741" t="s">
        <v>526</v>
      </c>
      <c r="H741">
        <v>240</v>
      </c>
      <c r="I741">
        <v>2160</v>
      </c>
      <c r="J741" t="s">
        <v>2546</v>
      </c>
      <c r="K741" s="17">
        <v>0</v>
      </c>
      <c r="L741" s="3">
        <f t="shared" si="11"/>
        <v>0</v>
      </c>
      <c r="N741" t="s">
        <v>2550</v>
      </c>
      <c r="O741" t="s">
        <v>2543</v>
      </c>
      <c r="P741">
        <v>0.28000000000000003</v>
      </c>
    </row>
    <row r="742" spans="1:16" x14ac:dyDescent="0.35">
      <c r="A742" s="5" t="str">
        <f>HYPERLINK("https://tienda.tarracoimportexport.com/index.php?id_product=9209&amp;controller=product&amp;id_lang=4", "TR010284")</f>
        <v>TR010284</v>
      </c>
      <c r="B742" t="s">
        <v>2551</v>
      </c>
      <c r="D742" s="4">
        <v>1150</v>
      </c>
      <c r="E742" t="s">
        <v>2552</v>
      </c>
      <c r="F742" t="s">
        <v>16</v>
      </c>
      <c r="G742" t="s">
        <v>526</v>
      </c>
      <c r="H742">
        <v>240</v>
      </c>
      <c r="I742">
        <v>2160</v>
      </c>
      <c r="J742" t="s">
        <v>2546</v>
      </c>
      <c r="K742" s="17">
        <v>0</v>
      </c>
      <c r="L742" s="3">
        <f t="shared" si="11"/>
        <v>0</v>
      </c>
      <c r="N742" t="s">
        <v>2552</v>
      </c>
      <c r="O742" t="s">
        <v>2543</v>
      </c>
      <c r="P742">
        <v>0.28000000000000003</v>
      </c>
    </row>
    <row r="743" spans="1:16" x14ac:dyDescent="0.35">
      <c r="A743" s="5" t="str">
        <f>HYPERLINK("https://tienda.tarracoimportexport.com/index.php?id_product=9214&amp;controller=product&amp;id_lang=4", "TR010289")</f>
        <v>TR010289</v>
      </c>
      <c r="B743" t="s">
        <v>2553</v>
      </c>
      <c r="D743" s="4">
        <v>1160</v>
      </c>
      <c r="E743" t="s">
        <v>2554</v>
      </c>
      <c r="F743" t="s">
        <v>16</v>
      </c>
      <c r="G743" t="s">
        <v>526</v>
      </c>
      <c r="H743">
        <v>240</v>
      </c>
      <c r="I743">
        <v>2160</v>
      </c>
      <c r="J743" t="s">
        <v>2546</v>
      </c>
      <c r="K743" s="17">
        <v>0</v>
      </c>
      <c r="L743" s="3">
        <f t="shared" si="11"/>
        <v>0</v>
      </c>
      <c r="N743" t="s">
        <v>2554</v>
      </c>
      <c r="O743" t="s">
        <v>2543</v>
      </c>
      <c r="P743">
        <v>0.27</v>
      </c>
    </row>
    <row r="744" spans="1:16" x14ac:dyDescent="0.35">
      <c r="A744" s="5" t="str">
        <f>HYPERLINK("https://tienda.tarracoimportexport.com/index.php?id_product=9212&amp;controller=product&amp;id_lang=4", "TR010287")</f>
        <v>TR010287</v>
      </c>
      <c r="B744" t="s">
        <v>2555</v>
      </c>
      <c r="D744" s="4">
        <v>1444</v>
      </c>
      <c r="E744" t="s">
        <v>2556</v>
      </c>
      <c r="F744" t="s">
        <v>16</v>
      </c>
      <c r="G744" t="s">
        <v>526</v>
      </c>
      <c r="H744">
        <v>240</v>
      </c>
      <c r="I744">
        <v>2160</v>
      </c>
      <c r="J744" t="s">
        <v>2546</v>
      </c>
      <c r="K744" s="17">
        <v>0</v>
      </c>
      <c r="L744" s="3">
        <f t="shared" si="11"/>
        <v>0</v>
      </c>
      <c r="N744" t="s">
        <v>2556</v>
      </c>
      <c r="O744" t="s">
        <v>2543</v>
      </c>
      <c r="P744">
        <v>1.67</v>
      </c>
    </row>
    <row r="745" spans="1:16" x14ac:dyDescent="0.35">
      <c r="A745" s="5" t="str">
        <f>HYPERLINK("https://tienda.tarracoimportexport.com/index.php?id_product=9352&amp;controller=product&amp;id_lang=4", "TR010425")</f>
        <v>TR010425</v>
      </c>
      <c r="B745" t="s">
        <v>2557</v>
      </c>
      <c r="D745" s="4">
        <v>127908</v>
      </c>
      <c r="E745" t="s">
        <v>2558</v>
      </c>
      <c r="F745" t="s">
        <v>16</v>
      </c>
      <c r="G745" t="s">
        <v>50</v>
      </c>
      <c r="H745">
        <v>24</v>
      </c>
      <c r="I745">
        <v>2304</v>
      </c>
      <c r="J745" t="s">
        <v>69</v>
      </c>
      <c r="K745" s="17">
        <v>0.75</v>
      </c>
      <c r="L745" s="3">
        <f t="shared" si="11"/>
        <v>0</v>
      </c>
      <c r="N745" t="s">
        <v>2559</v>
      </c>
      <c r="O745" t="s">
        <v>2560</v>
      </c>
      <c r="P745">
        <v>3.645</v>
      </c>
    </row>
    <row r="746" spans="1:16" x14ac:dyDescent="0.35">
      <c r="A746" s="5" t="str">
        <f>HYPERLINK("https://tienda.tarracoimportexport.com/index.php?id_product=9353&amp;controller=product&amp;id_lang=4", "TR010426")</f>
        <v>TR010426</v>
      </c>
      <c r="B746" t="s">
        <v>2561</v>
      </c>
      <c r="D746" s="4">
        <v>101952</v>
      </c>
      <c r="E746" t="s">
        <v>2562</v>
      </c>
      <c r="F746" t="s">
        <v>16</v>
      </c>
      <c r="G746" t="s">
        <v>50</v>
      </c>
      <c r="H746">
        <v>24</v>
      </c>
      <c r="I746">
        <v>2304</v>
      </c>
      <c r="J746" t="s">
        <v>69</v>
      </c>
      <c r="K746" s="17">
        <v>0.55000000000000004</v>
      </c>
      <c r="L746" s="3">
        <f t="shared" si="11"/>
        <v>0</v>
      </c>
      <c r="N746" t="s">
        <v>2563</v>
      </c>
      <c r="O746" t="s">
        <v>2564</v>
      </c>
      <c r="P746">
        <v>3.6349999999999998</v>
      </c>
    </row>
    <row r="747" spans="1:16" x14ac:dyDescent="0.35">
      <c r="A747" s="5" t="str">
        <f>HYPERLINK("https://tienda.tarracoimportexport.com/index.php?id_product=9189&amp;controller=product&amp;id_lang=4", "TR010264")</f>
        <v>TR010264</v>
      </c>
      <c r="B747" t="s">
        <v>2565</v>
      </c>
      <c r="D747" s="4">
        <v>112356</v>
      </c>
      <c r="E747" t="s">
        <v>2566</v>
      </c>
      <c r="F747" t="s">
        <v>16</v>
      </c>
      <c r="G747" t="s">
        <v>50</v>
      </c>
      <c r="H747">
        <v>24</v>
      </c>
      <c r="I747">
        <v>2304</v>
      </c>
      <c r="J747" t="s">
        <v>69</v>
      </c>
      <c r="K747" s="17">
        <v>0.75</v>
      </c>
      <c r="L747" s="3">
        <f t="shared" si="11"/>
        <v>0</v>
      </c>
      <c r="N747" t="s">
        <v>2567</v>
      </c>
      <c r="O747" t="s">
        <v>2568</v>
      </c>
      <c r="P747">
        <v>3.5950000000000002</v>
      </c>
    </row>
    <row r="748" spans="1:16" x14ac:dyDescent="0.35">
      <c r="A748" s="5" t="str">
        <f>HYPERLINK("https://tienda.tarracoimportexport.com/index.php?id_product=9247&amp;controller=product&amp;id_lang=4", "TR010321")</f>
        <v>TR010321</v>
      </c>
      <c r="B748" t="s">
        <v>2569</v>
      </c>
      <c r="D748" s="4">
        <v>28602</v>
      </c>
      <c r="E748" t="s">
        <v>2570</v>
      </c>
      <c r="F748" t="s">
        <v>16</v>
      </c>
      <c r="G748" t="s">
        <v>39</v>
      </c>
      <c r="H748">
        <v>50</v>
      </c>
      <c r="I748">
        <v>2100</v>
      </c>
      <c r="J748" t="s">
        <v>2571</v>
      </c>
      <c r="K748" s="17">
        <v>0.55000000000000004</v>
      </c>
      <c r="L748" s="3">
        <f t="shared" si="11"/>
        <v>0</v>
      </c>
      <c r="N748" t="s">
        <v>2572</v>
      </c>
      <c r="O748" t="s">
        <v>2573</v>
      </c>
      <c r="P748">
        <v>1.82</v>
      </c>
    </row>
    <row r="749" spans="1:16" x14ac:dyDescent="0.35">
      <c r="A749" s="5" t="str">
        <f>HYPERLINK("https://tienda.tarracoimportexport.com/index.php?id_product=9186&amp;controller=product&amp;id_lang=4", "TR010261")</f>
        <v>TR010261</v>
      </c>
      <c r="B749" t="s">
        <v>2569</v>
      </c>
      <c r="D749" s="4">
        <v>91980</v>
      </c>
      <c r="E749" t="s">
        <v>2570</v>
      </c>
      <c r="F749" t="s">
        <v>16</v>
      </c>
      <c r="G749" t="s">
        <v>50</v>
      </c>
      <c r="H749">
        <v>24</v>
      </c>
      <c r="I749">
        <v>2304</v>
      </c>
      <c r="J749" t="s">
        <v>69</v>
      </c>
      <c r="K749" s="17">
        <v>0.55000000000000004</v>
      </c>
      <c r="L749" s="3">
        <f t="shared" si="11"/>
        <v>0</v>
      </c>
      <c r="N749" t="s">
        <v>2574</v>
      </c>
      <c r="O749" t="s">
        <v>2568</v>
      </c>
      <c r="P749">
        <v>3.6</v>
      </c>
    </row>
    <row r="750" spans="1:16" x14ac:dyDescent="0.35">
      <c r="A750" s="5" t="str">
        <f>HYPERLINK("https://tienda.tarracoimportexport.com/index.php?id_product=9190&amp;controller=product&amp;id_lang=4", "TR010265")</f>
        <v>TR010265</v>
      </c>
      <c r="B750" t="s">
        <v>2575</v>
      </c>
      <c r="D750" s="4">
        <v>199944</v>
      </c>
      <c r="E750" t="s">
        <v>2576</v>
      </c>
      <c r="F750" t="s">
        <v>16</v>
      </c>
      <c r="G750" t="s">
        <v>50</v>
      </c>
      <c r="H750">
        <v>24</v>
      </c>
      <c r="I750">
        <v>2304</v>
      </c>
      <c r="J750" t="s">
        <v>69</v>
      </c>
      <c r="K750" s="17">
        <v>0.75</v>
      </c>
      <c r="L750" s="3">
        <f t="shared" si="11"/>
        <v>0</v>
      </c>
      <c r="N750" t="s">
        <v>2577</v>
      </c>
      <c r="O750" t="s">
        <v>2568</v>
      </c>
      <c r="P750">
        <v>3.63</v>
      </c>
    </row>
    <row r="751" spans="1:16" x14ac:dyDescent="0.35">
      <c r="A751" s="5" t="str">
        <f>HYPERLINK("https://tienda.tarracoimportexport.com/index.php?id_product=9187&amp;controller=product&amp;id_lang=4", "TR010262")</f>
        <v>TR010262</v>
      </c>
      <c r="B751" t="s">
        <v>2578</v>
      </c>
      <c r="D751" s="4">
        <v>150888</v>
      </c>
      <c r="E751" t="s">
        <v>2579</v>
      </c>
      <c r="F751" t="s">
        <v>16</v>
      </c>
      <c r="G751" t="s">
        <v>50</v>
      </c>
      <c r="H751">
        <v>24</v>
      </c>
      <c r="I751">
        <v>2304</v>
      </c>
      <c r="J751" t="s">
        <v>69</v>
      </c>
      <c r="K751" s="17">
        <v>0.55000000000000004</v>
      </c>
      <c r="L751" s="3">
        <f t="shared" si="11"/>
        <v>0</v>
      </c>
      <c r="N751" t="s">
        <v>2580</v>
      </c>
      <c r="O751" t="s">
        <v>2568</v>
      </c>
      <c r="P751">
        <v>3.605</v>
      </c>
    </row>
    <row r="752" spans="1:16" x14ac:dyDescent="0.35">
      <c r="A752" s="5" t="str">
        <f>HYPERLINK("https://tienda.tarracoimportexport.com/index.php?id_product=9188&amp;controller=product&amp;id_lang=4", "TR010263")</f>
        <v>TR010263</v>
      </c>
      <c r="B752" t="s">
        <v>2581</v>
      </c>
      <c r="D752" s="4">
        <v>104208</v>
      </c>
      <c r="E752" t="s">
        <v>2582</v>
      </c>
      <c r="F752" t="s">
        <v>16</v>
      </c>
      <c r="G752" t="s">
        <v>50</v>
      </c>
      <c r="H752">
        <v>24</v>
      </c>
      <c r="I752">
        <v>2304</v>
      </c>
      <c r="J752" t="s">
        <v>69</v>
      </c>
      <c r="K752" s="17">
        <v>0.75</v>
      </c>
      <c r="L752" s="3">
        <f t="shared" si="11"/>
        <v>0</v>
      </c>
      <c r="N752" t="s">
        <v>2583</v>
      </c>
      <c r="O752" t="s">
        <v>2568</v>
      </c>
      <c r="P752">
        <v>3.625</v>
      </c>
    </row>
    <row r="753" spans="1:16" x14ac:dyDescent="0.35">
      <c r="A753" s="5" t="str">
        <f>HYPERLINK("https://tienda.tarracoimportexport.com/index.php?id_product=9185&amp;controller=product&amp;id_lang=4", "TR010260")</f>
        <v>TR010260</v>
      </c>
      <c r="B753" t="s">
        <v>2584</v>
      </c>
      <c r="D753" s="4">
        <v>97656</v>
      </c>
      <c r="E753" t="s">
        <v>2585</v>
      </c>
      <c r="F753" t="s">
        <v>16</v>
      </c>
      <c r="G753" t="s">
        <v>50</v>
      </c>
      <c r="H753">
        <v>24</v>
      </c>
      <c r="I753">
        <v>2304</v>
      </c>
      <c r="J753" t="s">
        <v>69</v>
      </c>
      <c r="K753" s="17">
        <v>0.55000000000000004</v>
      </c>
      <c r="L753" s="3">
        <f t="shared" si="11"/>
        <v>0</v>
      </c>
      <c r="N753" t="s">
        <v>2586</v>
      </c>
      <c r="O753" t="s">
        <v>2568</v>
      </c>
      <c r="P753">
        <v>3.65</v>
      </c>
    </row>
    <row r="754" spans="1:16" x14ac:dyDescent="0.35">
      <c r="A754" s="5" t="str">
        <f>HYPERLINK("https://tienda.tarracoimportexport.com/index.php?id_product=9246&amp;controller=product&amp;id_lang=4", "TR010320")</f>
        <v>TR010320</v>
      </c>
      <c r="B754" t="s">
        <v>2584</v>
      </c>
      <c r="D754" s="4">
        <v>8802</v>
      </c>
      <c r="E754" t="s">
        <v>2585</v>
      </c>
      <c r="F754" t="s">
        <v>16</v>
      </c>
      <c r="G754" t="s">
        <v>39</v>
      </c>
      <c r="H754">
        <v>50</v>
      </c>
      <c r="I754">
        <v>2100</v>
      </c>
      <c r="J754" t="s">
        <v>2571</v>
      </c>
      <c r="K754" s="17">
        <v>0.55000000000000004</v>
      </c>
      <c r="L754" s="3">
        <f t="shared" si="11"/>
        <v>0</v>
      </c>
      <c r="N754" t="s">
        <v>2587</v>
      </c>
      <c r="O754" t="s">
        <v>2573</v>
      </c>
      <c r="P754">
        <v>1.84</v>
      </c>
    </row>
    <row r="755" spans="1:16" x14ac:dyDescent="0.35">
      <c r="A755" s="5" t="str">
        <f>HYPERLINK("https://tienda.tarracoimportexport.com/index.php?id_product=9355&amp;controller=product&amp;id_lang=4", "TR010428")</f>
        <v>TR010428</v>
      </c>
      <c r="B755" t="s">
        <v>2588</v>
      </c>
      <c r="D755" s="4">
        <v>131784</v>
      </c>
      <c r="E755" t="s">
        <v>2589</v>
      </c>
      <c r="F755" t="s">
        <v>16</v>
      </c>
      <c r="G755" t="s">
        <v>50</v>
      </c>
      <c r="H755">
        <v>24</v>
      </c>
      <c r="I755">
        <v>2304</v>
      </c>
      <c r="J755" t="s">
        <v>69</v>
      </c>
      <c r="K755" s="17">
        <v>0.75</v>
      </c>
      <c r="L755" s="3">
        <f t="shared" si="11"/>
        <v>0</v>
      </c>
      <c r="N755" t="s">
        <v>2590</v>
      </c>
      <c r="O755" t="s">
        <v>2560</v>
      </c>
      <c r="P755">
        <v>3.63</v>
      </c>
    </row>
    <row r="756" spans="1:16" x14ac:dyDescent="0.35">
      <c r="A756" s="5" t="str">
        <f>HYPERLINK("https://tienda.tarracoimportexport.com/index.php?id_product=9354&amp;controller=product&amp;id_lang=4", "TR010427")</f>
        <v>TR010427</v>
      </c>
      <c r="B756" t="s">
        <v>2591</v>
      </c>
      <c r="D756" s="4">
        <v>138276</v>
      </c>
      <c r="E756" t="s">
        <v>2592</v>
      </c>
      <c r="F756" t="s">
        <v>16</v>
      </c>
      <c r="G756" t="s">
        <v>50</v>
      </c>
      <c r="H756">
        <v>24</v>
      </c>
      <c r="I756">
        <v>2304</v>
      </c>
      <c r="J756" t="s">
        <v>69</v>
      </c>
      <c r="K756" s="17">
        <v>0.75</v>
      </c>
      <c r="L756" s="3">
        <f t="shared" ref="L756:L821" si="12">K756*C756</f>
        <v>0</v>
      </c>
      <c r="N756" t="s">
        <v>2593</v>
      </c>
      <c r="O756" t="s">
        <v>2560</v>
      </c>
      <c r="P756">
        <v>3.645</v>
      </c>
    </row>
    <row r="757" spans="1:16" x14ac:dyDescent="0.35">
      <c r="A757" s="5" t="str">
        <f>HYPERLINK("https://tienda.tarracoimportexport.com/index.php?id_product=9222&amp;controller=product&amp;id_lang=4", "TR010297")</f>
        <v>TR010297</v>
      </c>
      <c r="B757" t="s">
        <v>2594</v>
      </c>
      <c r="D757" s="4">
        <v>80224</v>
      </c>
      <c r="E757" t="s">
        <v>2595</v>
      </c>
      <c r="F757" t="s">
        <v>16</v>
      </c>
      <c r="G757" t="s">
        <v>62</v>
      </c>
      <c r="H757">
        <v>30</v>
      </c>
      <c r="I757">
        <v>1440</v>
      </c>
      <c r="J757" t="s">
        <v>1569</v>
      </c>
      <c r="K757" s="17">
        <v>0.95</v>
      </c>
      <c r="L757" s="3">
        <f t="shared" si="12"/>
        <v>0</v>
      </c>
      <c r="N757" t="s">
        <v>2596</v>
      </c>
      <c r="O757" t="s">
        <v>2597</v>
      </c>
      <c r="P757">
        <v>3.72</v>
      </c>
    </row>
    <row r="758" spans="1:16" x14ac:dyDescent="0.35">
      <c r="A758" s="5" t="str">
        <f>HYPERLINK("https://tienda.tarracoimportexport.com/index.php?id_product=9218&amp;controller=product&amp;id_lang=4", "TR010293")</f>
        <v>TR010293</v>
      </c>
      <c r="B758" t="s">
        <v>2598</v>
      </c>
      <c r="D758" s="4">
        <v>88656</v>
      </c>
      <c r="E758" t="s">
        <v>2599</v>
      </c>
      <c r="F758" t="s">
        <v>16</v>
      </c>
      <c r="G758" t="s">
        <v>62</v>
      </c>
      <c r="H758">
        <v>30</v>
      </c>
      <c r="I758">
        <v>1440</v>
      </c>
      <c r="J758" t="s">
        <v>1569</v>
      </c>
      <c r="K758" s="17">
        <v>0.75</v>
      </c>
      <c r="L758" s="3">
        <f t="shared" si="12"/>
        <v>0</v>
      </c>
      <c r="N758" t="s">
        <v>2600</v>
      </c>
      <c r="O758" t="s">
        <v>2573</v>
      </c>
      <c r="P758">
        <v>3.7949999999999999</v>
      </c>
    </row>
    <row r="759" spans="1:16" x14ac:dyDescent="0.35">
      <c r="A759" s="5" t="str">
        <f>HYPERLINK("https://tienda.tarracoimportexport.com/index.php?id_product=9220&amp;controller=product&amp;id_lang=4", "TR010295")</f>
        <v>TR010295</v>
      </c>
      <c r="B759" t="s">
        <v>2601</v>
      </c>
      <c r="D759" s="4">
        <v>62928</v>
      </c>
      <c r="E759" t="s">
        <v>2602</v>
      </c>
      <c r="F759" t="s">
        <v>16</v>
      </c>
      <c r="G759" t="s">
        <v>62</v>
      </c>
      <c r="H759">
        <v>30</v>
      </c>
      <c r="I759">
        <v>1440</v>
      </c>
      <c r="J759" t="s">
        <v>1569</v>
      </c>
      <c r="K759" s="17">
        <v>0.95</v>
      </c>
      <c r="L759" s="3">
        <f t="shared" si="12"/>
        <v>0</v>
      </c>
      <c r="N759" t="s">
        <v>2603</v>
      </c>
      <c r="O759" t="s">
        <v>2604</v>
      </c>
      <c r="P759">
        <v>3.74</v>
      </c>
    </row>
    <row r="760" spans="1:16" x14ac:dyDescent="0.35">
      <c r="A760" s="5" t="str">
        <f>HYPERLINK("https://tienda.tarracoimportexport.com/index.php?id_product=9216&amp;controller=product&amp;id_lang=4", "TR010291")</f>
        <v>TR010291</v>
      </c>
      <c r="B760" t="s">
        <v>2605</v>
      </c>
      <c r="D760" s="4">
        <v>38840</v>
      </c>
      <c r="E760" t="s">
        <v>2606</v>
      </c>
      <c r="F760" t="s">
        <v>16</v>
      </c>
      <c r="G760" t="s">
        <v>62</v>
      </c>
      <c r="H760">
        <v>30</v>
      </c>
      <c r="I760">
        <v>1440</v>
      </c>
      <c r="J760" t="s">
        <v>1569</v>
      </c>
      <c r="K760" s="17">
        <v>0.75</v>
      </c>
      <c r="L760" s="3">
        <f t="shared" si="12"/>
        <v>0</v>
      </c>
      <c r="N760" t="s">
        <v>2607</v>
      </c>
      <c r="O760" t="s">
        <v>2573</v>
      </c>
      <c r="P760">
        <v>3.75</v>
      </c>
    </row>
    <row r="761" spans="1:16" x14ac:dyDescent="0.35">
      <c r="A761" s="5" t="str">
        <f>HYPERLINK("https://tienda.tarracoimportexport.com/index.php?id_product=9221&amp;controller=product&amp;id_lang=4", "TR010296")</f>
        <v>TR010296</v>
      </c>
      <c r="B761" t="s">
        <v>2608</v>
      </c>
      <c r="D761" s="4">
        <v>38616</v>
      </c>
      <c r="E761" t="s">
        <v>2609</v>
      </c>
      <c r="F761" t="s">
        <v>16</v>
      </c>
      <c r="G761" t="s">
        <v>62</v>
      </c>
      <c r="H761">
        <v>30</v>
      </c>
      <c r="I761">
        <v>1440</v>
      </c>
      <c r="J761" t="s">
        <v>1569</v>
      </c>
      <c r="K761" s="17">
        <v>0.95</v>
      </c>
      <c r="L761" s="3">
        <f t="shared" si="12"/>
        <v>0</v>
      </c>
      <c r="N761" t="s">
        <v>2610</v>
      </c>
      <c r="O761" t="s">
        <v>2604</v>
      </c>
      <c r="P761">
        <v>3.4750000000000001</v>
      </c>
    </row>
    <row r="762" spans="1:16" x14ac:dyDescent="0.35">
      <c r="A762" s="5" t="str">
        <f>HYPERLINK("https://tienda.tarracoimportexport.com/index.php?id_product=9217&amp;controller=product&amp;id_lang=4", "TR010292")</f>
        <v>TR010292</v>
      </c>
      <c r="B762" t="s">
        <v>2611</v>
      </c>
      <c r="D762" s="4">
        <v>38000</v>
      </c>
      <c r="E762" t="s">
        <v>2612</v>
      </c>
      <c r="F762" t="s">
        <v>16</v>
      </c>
      <c r="G762" t="s">
        <v>62</v>
      </c>
      <c r="H762">
        <v>30</v>
      </c>
      <c r="I762">
        <v>1440</v>
      </c>
      <c r="J762" t="s">
        <v>1569</v>
      </c>
      <c r="K762" s="17">
        <v>0.75</v>
      </c>
      <c r="L762" s="3">
        <f t="shared" si="12"/>
        <v>0</v>
      </c>
      <c r="N762" t="s">
        <v>2613</v>
      </c>
      <c r="O762" t="s">
        <v>2573</v>
      </c>
      <c r="P762">
        <v>3.74</v>
      </c>
    </row>
    <row r="763" spans="1:16" x14ac:dyDescent="0.35">
      <c r="A763" s="5" t="str">
        <f>HYPERLINK("https://tienda.tarracoimportexport.com/index.php?id_product=9219&amp;controller=product&amp;id_lang=4", "TR010294")</f>
        <v>TR010294</v>
      </c>
      <c r="B763" t="s">
        <v>2614</v>
      </c>
      <c r="D763" s="4">
        <v>63272</v>
      </c>
      <c r="E763" t="s">
        <v>2615</v>
      </c>
      <c r="F763" t="s">
        <v>16</v>
      </c>
      <c r="G763" t="s">
        <v>62</v>
      </c>
      <c r="H763">
        <v>30</v>
      </c>
      <c r="I763">
        <v>1440</v>
      </c>
      <c r="J763" t="s">
        <v>1569</v>
      </c>
      <c r="K763" s="17">
        <v>0.95</v>
      </c>
      <c r="L763" s="3">
        <f t="shared" si="12"/>
        <v>0</v>
      </c>
      <c r="N763" t="s">
        <v>2616</v>
      </c>
      <c r="O763" t="s">
        <v>2604</v>
      </c>
      <c r="P763">
        <v>3.81</v>
      </c>
    </row>
    <row r="764" spans="1:16" x14ac:dyDescent="0.35">
      <c r="A764" s="5" t="str">
        <f>HYPERLINK("https://tienda.tarracoimportexport.com/index.php?id_product=9215&amp;controller=product&amp;id_lang=4", "TR010290")</f>
        <v>TR010290</v>
      </c>
      <c r="B764" t="s">
        <v>2617</v>
      </c>
      <c r="D764" s="4">
        <v>41616</v>
      </c>
      <c r="E764" t="s">
        <v>2618</v>
      </c>
      <c r="F764" t="s">
        <v>16</v>
      </c>
      <c r="G764" t="s">
        <v>62</v>
      </c>
      <c r="H764">
        <v>30</v>
      </c>
      <c r="I764">
        <v>1440</v>
      </c>
      <c r="J764" t="s">
        <v>1569</v>
      </c>
      <c r="K764" s="17">
        <v>0.75</v>
      </c>
      <c r="L764" s="3">
        <f t="shared" si="12"/>
        <v>0</v>
      </c>
      <c r="N764" t="s">
        <v>2619</v>
      </c>
      <c r="O764" t="s">
        <v>2573</v>
      </c>
      <c r="P764">
        <v>3.7949999999999999</v>
      </c>
    </row>
    <row r="765" spans="1:16" x14ac:dyDescent="0.35">
      <c r="A765" s="5" t="str">
        <f>HYPERLINK("https://tienda.tarracoimportexport.com/index.php?id_product=9357&amp;controller=product&amp;id_lang=4", "TR010430")</f>
        <v>TR010430</v>
      </c>
      <c r="B765" t="s">
        <v>2620</v>
      </c>
      <c r="D765" s="4">
        <v>191312</v>
      </c>
      <c r="E765" t="s">
        <v>2621</v>
      </c>
      <c r="F765" t="s">
        <v>16</v>
      </c>
      <c r="G765" t="s">
        <v>62</v>
      </c>
      <c r="H765">
        <v>30</v>
      </c>
      <c r="I765">
        <v>1440</v>
      </c>
      <c r="J765" t="s">
        <v>1569</v>
      </c>
      <c r="K765" s="17">
        <v>0.95</v>
      </c>
      <c r="L765" s="3">
        <f t="shared" si="12"/>
        <v>0</v>
      </c>
      <c r="N765" t="s">
        <v>2622</v>
      </c>
      <c r="O765" t="s">
        <v>2623</v>
      </c>
      <c r="P765">
        <v>3.8</v>
      </c>
    </row>
    <row r="766" spans="1:16" x14ac:dyDescent="0.35">
      <c r="A766" s="5" t="str">
        <f>HYPERLINK("https://tienda.tarracoimportexport.com/index.php?id_product=9356&amp;controller=product&amp;id_lang=4", "TR010429")</f>
        <v>TR010429</v>
      </c>
      <c r="B766" t="s">
        <v>2624</v>
      </c>
      <c r="D766" s="4">
        <v>214192</v>
      </c>
      <c r="E766" t="s">
        <v>2625</v>
      </c>
      <c r="F766" t="s">
        <v>16</v>
      </c>
      <c r="G766" t="s">
        <v>62</v>
      </c>
      <c r="H766">
        <v>30</v>
      </c>
      <c r="I766">
        <v>1440</v>
      </c>
      <c r="J766" t="s">
        <v>1569</v>
      </c>
      <c r="K766" s="17">
        <v>0.95</v>
      </c>
      <c r="L766" s="3">
        <f t="shared" si="12"/>
        <v>0</v>
      </c>
      <c r="N766" t="s">
        <v>2626</v>
      </c>
      <c r="O766" t="s">
        <v>2623</v>
      </c>
      <c r="P766">
        <v>3.7650000000000001</v>
      </c>
    </row>
    <row r="767" spans="1:16" x14ac:dyDescent="0.35">
      <c r="A767" s="5" t="str">
        <f>HYPERLINK("https://tienda.tarracoimportexport.com/index.php?id_product=10725&amp;controller=product&amp;id_lang=4", "TR011689")</f>
        <v>TR011689</v>
      </c>
      <c r="B767" t="s">
        <v>2627</v>
      </c>
      <c r="D767" s="4">
        <v>6792</v>
      </c>
      <c r="E767" t="s">
        <v>2628</v>
      </c>
      <c r="F767" t="s">
        <v>16</v>
      </c>
      <c r="G767" t="s">
        <v>50</v>
      </c>
      <c r="H767">
        <v>9</v>
      </c>
      <c r="I767">
        <v>648</v>
      </c>
      <c r="J767" t="s">
        <v>484</v>
      </c>
      <c r="K767" s="17">
        <v>1.65</v>
      </c>
      <c r="L767" s="3">
        <f t="shared" si="12"/>
        <v>0</v>
      </c>
      <c r="N767" t="s">
        <v>2629</v>
      </c>
      <c r="O767" t="s">
        <v>2630</v>
      </c>
      <c r="P767">
        <v>10.5</v>
      </c>
    </row>
    <row r="768" spans="1:16" x14ac:dyDescent="0.35">
      <c r="A768" s="5" t="str">
        <f>HYPERLINK("https://tienda.tarracoimportexport.com/index.php?id_product=10724&amp;controller=product&amp;id_lang=4", "TR011688")</f>
        <v>TR011688</v>
      </c>
      <c r="B768" t="s">
        <v>2631</v>
      </c>
      <c r="D768" s="4">
        <v>6792</v>
      </c>
      <c r="E768" t="s">
        <v>2632</v>
      </c>
      <c r="F768" t="s">
        <v>16</v>
      </c>
      <c r="G768" t="s">
        <v>50</v>
      </c>
      <c r="H768">
        <v>9</v>
      </c>
      <c r="I768">
        <v>648</v>
      </c>
      <c r="J768" t="s">
        <v>484</v>
      </c>
      <c r="K768" s="17">
        <v>1.65</v>
      </c>
      <c r="L768" s="3">
        <f t="shared" si="12"/>
        <v>0</v>
      </c>
      <c r="N768" t="s">
        <v>2633</v>
      </c>
      <c r="O768" t="s">
        <v>2630</v>
      </c>
      <c r="P768">
        <v>10.5</v>
      </c>
    </row>
    <row r="769" spans="1:16" x14ac:dyDescent="0.35">
      <c r="A769" s="5" t="str">
        <f>HYPERLINK("https://tienda.tarracoimportexport.com/index.php?id_product=10723&amp;controller=product&amp;id_lang=4", "TR011687")</f>
        <v>TR011687</v>
      </c>
      <c r="B769" t="s">
        <v>2634</v>
      </c>
      <c r="D769" s="4">
        <v>10668</v>
      </c>
      <c r="E769" t="s">
        <v>2635</v>
      </c>
      <c r="F769" t="s">
        <v>16</v>
      </c>
      <c r="G769" t="s">
        <v>50</v>
      </c>
      <c r="H769">
        <v>9</v>
      </c>
      <c r="I769">
        <v>648</v>
      </c>
      <c r="J769" t="s">
        <v>484</v>
      </c>
      <c r="K769" s="17">
        <v>1.65</v>
      </c>
      <c r="L769" s="3">
        <f t="shared" si="12"/>
        <v>0</v>
      </c>
      <c r="N769" t="s">
        <v>2636</v>
      </c>
      <c r="O769" t="s">
        <v>2630</v>
      </c>
      <c r="P769">
        <v>10.5</v>
      </c>
    </row>
    <row r="770" spans="1:16" x14ac:dyDescent="0.35">
      <c r="A770" s="5" t="str">
        <f>HYPERLINK("https://tienda.tarracoimportexport.com/index.php?id_product=10727&amp;controller=product&amp;id_lang=4", "TR011691")</f>
        <v>TR011691</v>
      </c>
      <c r="B770" t="s">
        <v>2637</v>
      </c>
      <c r="D770" s="4">
        <v>6912</v>
      </c>
      <c r="E770" t="s">
        <v>2638</v>
      </c>
      <c r="F770" t="s">
        <v>16</v>
      </c>
      <c r="G770" t="s">
        <v>50</v>
      </c>
      <c r="H770">
        <v>9</v>
      </c>
      <c r="I770">
        <v>648</v>
      </c>
      <c r="J770" t="s">
        <v>484</v>
      </c>
      <c r="K770" s="17">
        <v>1.65</v>
      </c>
      <c r="L770" s="3">
        <f t="shared" si="12"/>
        <v>0</v>
      </c>
      <c r="N770" t="s">
        <v>2639</v>
      </c>
      <c r="O770" t="s">
        <v>2630</v>
      </c>
      <c r="P770">
        <v>10.5</v>
      </c>
    </row>
    <row r="771" spans="1:16" x14ac:dyDescent="0.35">
      <c r="A771" s="5" t="str">
        <f>HYPERLINK("https://tienda.tarracoimportexport.com/index.php?id_product=10726&amp;controller=product&amp;id_lang=4", "TR011690")</f>
        <v>TR011690</v>
      </c>
      <c r="B771" t="s">
        <v>2640</v>
      </c>
      <c r="D771" s="4">
        <v>6264</v>
      </c>
      <c r="E771" t="s">
        <v>2641</v>
      </c>
      <c r="F771" t="s">
        <v>16</v>
      </c>
      <c r="G771" t="s">
        <v>50</v>
      </c>
      <c r="H771">
        <v>9</v>
      </c>
      <c r="I771">
        <v>648</v>
      </c>
      <c r="J771" t="s">
        <v>484</v>
      </c>
      <c r="K771" s="17">
        <v>1.65</v>
      </c>
      <c r="L771" s="3">
        <f t="shared" si="12"/>
        <v>0</v>
      </c>
      <c r="N771" t="s">
        <v>2642</v>
      </c>
      <c r="O771" t="s">
        <v>2630</v>
      </c>
      <c r="P771">
        <v>10.5</v>
      </c>
    </row>
    <row r="772" spans="1:16" x14ac:dyDescent="0.35">
      <c r="A772" s="5" t="str">
        <f>HYPERLINK("https://tienda.tarracoimportexport.com/index.php?id_product=9881&amp;controller=product&amp;id_lang=4", "TR010927")</f>
        <v>TR010927</v>
      </c>
      <c r="B772" t="s">
        <v>2643</v>
      </c>
      <c r="D772" s="4">
        <v>1008</v>
      </c>
      <c r="E772" t="s">
        <v>2644</v>
      </c>
      <c r="F772" t="s">
        <v>16</v>
      </c>
      <c r="G772" t="s">
        <v>242</v>
      </c>
      <c r="H772">
        <v>12</v>
      </c>
      <c r="I772">
        <v>336</v>
      </c>
      <c r="J772" t="s">
        <v>90</v>
      </c>
      <c r="K772" s="17">
        <v>3.1</v>
      </c>
      <c r="L772" s="3">
        <f t="shared" si="12"/>
        <v>0</v>
      </c>
      <c r="N772" t="s">
        <v>2645</v>
      </c>
      <c r="O772" t="s">
        <v>2560</v>
      </c>
      <c r="P772">
        <v>2.31</v>
      </c>
    </row>
    <row r="773" spans="1:16" x14ac:dyDescent="0.35">
      <c r="A773" s="5" t="str">
        <f>HYPERLINK("https://tienda.tarracoimportexport.com/index.php?id_product=10619&amp;controller=product&amp;id_lang=4", "TR011594")</f>
        <v>TR011594</v>
      </c>
      <c r="B773" t="s">
        <v>2646</v>
      </c>
      <c r="D773" s="4">
        <v>2456</v>
      </c>
      <c r="E773" t="s">
        <v>2647</v>
      </c>
      <c r="F773" t="s">
        <v>16</v>
      </c>
      <c r="G773" t="s">
        <v>242</v>
      </c>
      <c r="H773">
        <v>10</v>
      </c>
      <c r="I773">
        <v>240</v>
      </c>
      <c r="J773" t="s">
        <v>516</v>
      </c>
      <c r="K773" s="17">
        <v>4.25</v>
      </c>
      <c r="L773" s="3">
        <f t="shared" si="12"/>
        <v>0</v>
      </c>
      <c r="N773" t="s">
        <v>2648</v>
      </c>
      <c r="O773" t="s">
        <v>2508</v>
      </c>
      <c r="P773">
        <v>3.01</v>
      </c>
    </row>
    <row r="774" spans="1:16" x14ac:dyDescent="0.35">
      <c r="A774" s="5" t="str">
        <f>HYPERLINK("https://tienda.tarracoimportexport.com/index.php?id_product=10620&amp;controller=product&amp;id_lang=4", "TR011595")</f>
        <v>TR011595</v>
      </c>
      <c r="B774" t="s">
        <v>2649</v>
      </c>
      <c r="D774" s="4">
        <v>896</v>
      </c>
      <c r="E774" t="s">
        <v>2650</v>
      </c>
      <c r="F774" t="s">
        <v>16</v>
      </c>
      <c r="G774" t="s">
        <v>242</v>
      </c>
      <c r="H774">
        <v>10</v>
      </c>
      <c r="I774">
        <v>240</v>
      </c>
      <c r="J774" t="s">
        <v>516</v>
      </c>
      <c r="K774" s="17">
        <v>4.25</v>
      </c>
      <c r="L774" s="3">
        <f t="shared" si="12"/>
        <v>0</v>
      </c>
      <c r="N774" t="s">
        <v>2651</v>
      </c>
      <c r="O774" t="s">
        <v>2508</v>
      </c>
      <c r="P774">
        <v>3.01</v>
      </c>
    </row>
    <row r="775" spans="1:16" x14ac:dyDescent="0.35">
      <c r="A775" s="5" t="str">
        <f>HYPERLINK("https://tienda.tarracoimportexport.com/index.php?id_product=10621&amp;controller=product&amp;id_lang=4", "TR011596")</f>
        <v>TR011596</v>
      </c>
      <c r="B775" t="s">
        <v>2652</v>
      </c>
      <c r="D775" s="4">
        <v>948</v>
      </c>
      <c r="E775" t="s">
        <v>2653</v>
      </c>
      <c r="F775" t="s">
        <v>16</v>
      </c>
      <c r="G775" t="s">
        <v>242</v>
      </c>
      <c r="H775">
        <v>10</v>
      </c>
      <c r="I775">
        <v>240</v>
      </c>
      <c r="J775" t="s">
        <v>516</v>
      </c>
      <c r="K775" s="17">
        <v>4.25</v>
      </c>
      <c r="L775" s="3">
        <f t="shared" si="12"/>
        <v>0</v>
      </c>
      <c r="N775" t="s">
        <v>2654</v>
      </c>
      <c r="O775" t="s">
        <v>2508</v>
      </c>
      <c r="P775">
        <v>3.01</v>
      </c>
    </row>
    <row r="776" spans="1:16" x14ac:dyDescent="0.35">
      <c r="A776" s="5" t="str">
        <f>HYPERLINK("https://tienda.tarracoimportexport.com/index.php?id_product=10618&amp;controller=product&amp;id_lang=4", "TR011593")</f>
        <v>TR011593</v>
      </c>
      <c r="B776" t="s">
        <v>2655</v>
      </c>
      <c r="D776" s="4">
        <v>1608</v>
      </c>
      <c r="E776" t="s">
        <v>2656</v>
      </c>
      <c r="F776" t="s">
        <v>16</v>
      </c>
      <c r="G776" t="s">
        <v>242</v>
      </c>
      <c r="H776">
        <v>10</v>
      </c>
      <c r="I776">
        <v>240</v>
      </c>
      <c r="J776" t="s">
        <v>516</v>
      </c>
      <c r="K776" s="17">
        <v>4.25</v>
      </c>
      <c r="L776" s="3">
        <f t="shared" si="12"/>
        <v>0</v>
      </c>
      <c r="N776" t="s">
        <v>2657</v>
      </c>
      <c r="O776" t="s">
        <v>2508</v>
      </c>
      <c r="P776">
        <v>3.01</v>
      </c>
    </row>
    <row r="777" spans="1:16" x14ac:dyDescent="0.35">
      <c r="A777" s="5" t="str">
        <f>HYPERLINK("https://tienda.tarracoimportexport.com/index.php?id_product=10617&amp;controller=product&amp;id_lang=4", "TR011592")</f>
        <v>TR011592</v>
      </c>
      <c r="B777" t="s">
        <v>2658</v>
      </c>
      <c r="D777" s="4">
        <v>1320</v>
      </c>
      <c r="E777" t="s">
        <v>2659</v>
      </c>
      <c r="F777" t="s">
        <v>16</v>
      </c>
      <c r="G777" t="s">
        <v>242</v>
      </c>
      <c r="H777">
        <v>10</v>
      </c>
      <c r="I777">
        <v>240</v>
      </c>
      <c r="J777" t="s">
        <v>516</v>
      </c>
      <c r="K777" s="17">
        <v>4.25</v>
      </c>
      <c r="L777" s="3">
        <f t="shared" si="12"/>
        <v>0</v>
      </c>
      <c r="N777" t="s">
        <v>2660</v>
      </c>
      <c r="O777" t="s">
        <v>2508</v>
      </c>
      <c r="P777">
        <v>3.01</v>
      </c>
    </row>
    <row r="778" spans="1:16" x14ac:dyDescent="0.35">
      <c r="A778" s="5" t="str">
        <f>HYPERLINK("https://tienda.tarracoimportexport.com/index.php?id_product=10261&amp;controller=product&amp;id_lang=4", "TR011277")</f>
        <v>TR011277</v>
      </c>
      <c r="B778" t="s">
        <v>2661</v>
      </c>
      <c r="D778" s="4">
        <v>856</v>
      </c>
      <c r="E778" t="s">
        <v>2662</v>
      </c>
      <c r="F778" t="s">
        <v>16</v>
      </c>
      <c r="G778" t="s">
        <v>242</v>
      </c>
      <c r="H778">
        <v>12</v>
      </c>
      <c r="I778">
        <v>336</v>
      </c>
      <c r="J778" t="s">
        <v>90</v>
      </c>
      <c r="K778" s="17">
        <v>4.99</v>
      </c>
      <c r="L778" s="3">
        <f t="shared" si="12"/>
        <v>0</v>
      </c>
      <c r="N778" t="s">
        <v>2663</v>
      </c>
      <c r="O778" t="s">
        <v>2664</v>
      </c>
      <c r="P778">
        <v>2.3199999999999998</v>
      </c>
    </row>
    <row r="779" spans="1:16" x14ac:dyDescent="0.35">
      <c r="A779" s="5" t="str">
        <f>HYPERLINK("https://tienda.tarracoimportexport.com/index.php?id_product=10262&amp;controller=product&amp;id_lang=4", "TR011278")</f>
        <v>TR011278</v>
      </c>
      <c r="B779" t="s">
        <v>2665</v>
      </c>
      <c r="D779" s="4">
        <v>3620</v>
      </c>
      <c r="E779" t="s">
        <v>2666</v>
      </c>
      <c r="F779" t="s">
        <v>16</v>
      </c>
      <c r="G779" t="s">
        <v>242</v>
      </c>
      <c r="H779">
        <v>12</v>
      </c>
      <c r="I779">
        <v>336</v>
      </c>
      <c r="J779" t="s">
        <v>90</v>
      </c>
      <c r="K779" s="17">
        <v>4.99</v>
      </c>
      <c r="L779" s="3">
        <f t="shared" si="12"/>
        <v>0</v>
      </c>
      <c r="N779" t="s">
        <v>2667</v>
      </c>
      <c r="O779" t="s">
        <v>2664</v>
      </c>
      <c r="P779">
        <v>2.2999999999999998</v>
      </c>
    </row>
    <row r="780" spans="1:16" x14ac:dyDescent="0.35">
      <c r="A780" s="5" t="str">
        <f>HYPERLINK("https://tienda.tarracoimportexport.com/index.php?id_product=10259&amp;controller=product&amp;id_lang=4", "TR011275")</f>
        <v>TR011275</v>
      </c>
      <c r="B780" t="s">
        <v>2668</v>
      </c>
      <c r="D780" s="4">
        <v>3708</v>
      </c>
      <c r="E780" t="s">
        <v>2669</v>
      </c>
      <c r="F780" t="s">
        <v>396</v>
      </c>
      <c r="G780" t="s">
        <v>242</v>
      </c>
      <c r="H780">
        <v>12</v>
      </c>
      <c r="I780">
        <v>336</v>
      </c>
      <c r="J780" t="s">
        <v>90</v>
      </c>
      <c r="K780" s="17">
        <v>4.99</v>
      </c>
      <c r="L780" s="3">
        <f t="shared" si="12"/>
        <v>0</v>
      </c>
      <c r="N780" t="s">
        <v>2670</v>
      </c>
      <c r="O780" t="s">
        <v>2560</v>
      </c>
      <c r="P780">
        <v>2.1850000000000001</v>
      </c>
    </row>
    <row r="781" spans="1:16" x14ac:dyDescent="0.35">
      <c r="A781" s="5" t="str">
        <f>HYPERLINK("https://tienda.tarracoimportexport.com/index.php?id_product=10260&amp;controller=product&amp;id_lang=4", "TR011276")</f>
        <v>TR011276</v>
      </c>
      <c r="B781" t="s">
        <v>2671</v>
      </c>
      <c r="D781" s="4">
        <v>1008</v>
      </c>
      <c r="E781" t="s">
        <v>2672</v>
      </c>
      <c r="F781" t="s">
        <v>16</v>
      </c>
      <c r="G781" t="s">
        <v>242</v>
      </c>
      <c r="H781">
        <v>12</v>
      </c>
      <c r="I781">
        <v>336</v>
      </c>
      <c r="J781" t="s">
        <v>90</v>
      </c>
      <c r="K781" s="17">
        <v>4.99</v>
      </c>
      <c r="L781" s="3">
        <f t="shared" si="12"/>
        <v>0</v>
      </c>
      <c r="N781" t="s">
        <v>2673</v>
      </c>
      <c r="O781" t="s">
        <v>2664</v>
      </c>
      <c r="P781">
        <v>2.3050000000000002</v>
      </c>
    </row>
    <row r="782" spans="1:16" x14ac:dyDescent="0.35">
      <c r="A782" s="5" t="str">
        <f>HYPERLINK("https://tienda.tarracoimportexport.com/index.php?id_product=10258&amp;controller=product&amp;id_lang=4", "TR011274")</f>
        <v>TR011274</v>
      </c>
      <c r="B782" t="s">
        <v>2674</v>
      </c>
      <c r="D782" s="4">
        <v>3560</v>
      </c>
      <c r="E782" t="s">
        <v>2675</v>
      </c>
      <c r="F782" t="s">
        <v>16</v>
      </c>
      <c r="G782" t="s">
        <v>242</v>
      </c>
      <c r="H782">
        <v>12</v>
      </c>
      <c r="I782">
        <v>336</v>
      </c>
      <c r="J782" t="s">
        <v>90</v>
      </c>
      <c r="K782" s="17">
        <v>4.99</v>
      </c>
      <c r="L782" s="3">
        <f t="shared" si="12"/>
        <v>0</v>
      </c>
      <c r="N782" t="s">
        <v>2676</v>
      </c>
      <c r="O782" t="s">
        <v>2677</v>
      </c>
      <c r="P782">
        <v>2.2650000000000001</v>
      </c>
    </row>
    <row r="783" spans="1:16" x14ac:dyDescent="0.35">
      <c r="A783" s="5" t="str">
        <f>HYPERLINK("https://tienda.tarracoimportexport.com/index.php?id_product=9193&amp;controller=product&amp;id_lang=4", "TR010268")</f>
        <v>TR010268</v>
      </c>
      <c r="B783" t="s">
        <v>2678</v>
      </c>
      <c r="D783" s="4">
        <v>11988</v>
      </c>
      <c r="E783" t="s">
        <v>2679</v>
      </c>
      <c r="F783" t="s">
        <v>16</v>
      </c>
      <c r="G783" t="s">
        <v>50</v>
      </c>
      <c r="H783">
        <v>24</v>
      </c>
      <c r="I783">
        <v>2592</v>
      </c>
      <c r="J783" t="s">
        <v>57</v>
      </c>
      <c r="K783" s="17">
        <v>0.86</v>
      </c>
      <c r="L783" s="3">
        <f t="shared" si="12"/>
        <v>0</v>
      </c>
      <c r="N783" t="s">
        <v>2680</v>
      </c>
      <c r="O783" t="s">
        <v>2681</v>
      </c>
      <c r="P783">
        <v>1.0900000000000001</v>
      </c>
    </row>
    <row r="784" spans="1:16" x14ac:dyDescent="0.35">
      <c r="A784" s="5" t="str">
        <f>HYPERLINK("https://tienda.tarracoimportexport.com/index.php?id_product=9194&amp;controller=product&amp;id_lang=4", "TR010269")</f>
        <v>TR010269</v>
      </c>
      <c r="B784" t="s">
        <v>2682</v>
      </c>
      <c r="D784" s="4">
        <v>66936</v>
      </c>
      <c r="E784" t="s">
        <v>2683</v>
      </c>
      <c r="F784" t="s">
        <v>16</v>
      </c>
      <c r="G784" t="s">
        <v>50</v>
      </c>
      <c r="H784">
        <v>24</v>
      </c>
      <c r="I784">
        <v>2592</v>
      </c>
      <c r="J784" t="s">
        <v>57</v>
      </c>
      <c r="K784" s="17">
        <v>0.86</v>
      </c>
      <c r="L784" s="3">
        <f t="shared" si="12"/>
        <v>0</v>
      </c>
      <c r="N784" t="s">
        <v>2684</v>
      </c>
      <c r="O784" t="s">
        <v>2685</v>
      </c>
      <c r="P784">
        <v>1.1000000000000001</v>
      </c>
    </row>
    <row r="785" spans="1:16" x14ac:dyDescent="0.35">
      <c r="A785" s="5" t="str">
        <f>HYPERLINK("https://tienda.tarracoimportexport.com/index.php?id_product=9192&amp;controller=product&amp;id_lang=4", "TR010267")</f>
        <v>TR010267</v>
      </c>
      <c r="B785" t="s">
        <v>2686</v>
      </c>
      <c r="D785" s="4">
        <v>9228</v>
      </c>
      <c r="E785" t="s">
        <v>2687</v>
      </c>
      <c r="F785" t="s">
        <v>16</v>
      </c>
      <c r="G785" t="s">
        <v>50</v>
      </c>
      <c r="H785">
        <v>24</v>
      </c>
      <c r="I785">
        <v>2592</v>
      </c>
      <c r="J785" t="s">
        <v>57</v>
      </c>
      <c r="K785" s="17">
        <v>0.86</v>
      </c>
      <c r="L785" s="3">
        <f t="shared" si="12"/>
        <v>0</v>
      </c>
      <c r="N785" t="s">
        <v>2688</v>
      </c>
      <c r="O785" t="s">
        <v>2689</v>
      </c>
      <c r="P785">
        <v>1.05</v>
      </c>
    </row>
    <row r="786" spans="1:16" x14ac:dyDescent="0.35">
      <c r="A786" s="5" t="str">
        <f>HYPERLINK("https://tienda.tarracoimportexport.com/index.php?id_product=9202&amp;controller=product&amp;id_lang=4", "TR010277")</f>
        <v>TR010277</v>
      </c>
      <c r="B786" t="s">
        <v>2690</v>
      </c>
      <c r="D786" s="4">
        <v>3864</v>
      </c>
      <c r="E786" t="s">
        <v>2691</v>
      </c>
      <c r="F786" t="s">
        <v>16</v>
      </c>
      <c r="G786" t="s">
        <v>50</v>
      </c>
      <c r="H786">
        <v>27</v>
      </c>
      <c r="I786">
        <v>2916</v>
      </c>
      <c r="J786" t="s">
        <v>2692</v>
      </c>
      <c r="K786" s="17">
        <v>1.03</v>
      </c>
      <c r="L786" s="3">
        <f t="shared" si="12"/>
        <v>0</v>
      </c>
      <c r="N786" t="s">
        <v>2693</v>
      </c>
      <c r="O786" t="s">
        <v>2694</v>
      </c>
      <c r="P786">
        <v>1.9</v>
      </c>
    </row>
    <row r="787" spans="1:16" x14ac:dyDescent="0.35">
      <c r="A787" s="5" t="str">
        <f>HYPERLINK("https://tienda.tarracoimportexport.com/index.php?id_product=9198&amp;controller=product&amp;id_lang=4", "TR010273")</f>
        <v>TR010273</v>
      </c>
      <c r="B787" t="s">
        <v>2695</v>
      </c>
      <c r="D787" s="4">
        <v>43656</v>
      </c>
      <c r="E787" t="s">
        <v>2696</v>
      </c>
      <c r="F787" t="s">
        <v>16</v>
      </c>
      <c r="G787" t="s">
        <v>50</v>
      </c>
      <c r="H787">
        <v>32</v>
      </c>
      <c r="I787">
        <v>3072</v>
      </c>
      <c r="J787" t="s">
        <v>1351</v>
      </c>
      <c r="K787" s="17">
        <v>1.03</v>
      </c>
      <c r="L787" s="3">
        <f t="shared" si="12"/>
        <v>0</v>
      </c>
      <c r="N787" t="s">
        <v>2697</v>
      </c>
      <c r="O787" t="s">
        <v>2698</v>
      </c>
      <c r="P787">
        <v>1.7</v>
      </c>
    </row>
    <row r="788" spans="1:16" x14ac:dyDescent="0.35">
      <c r="A788" s="5" t="str">
        <f>HYPERLINK("https://tienda.tarracoimportexport.com/index.php?id_product=10868&amp;controller=product&amp;id_lang=4", "TR011814")</f>
        <v>TR011814</v>
      </c>
      <c r="B788" t="s">
        <v>2699</v>
      </c>
      <c r="D788" s="4">
        <v>13296</v>
      </c>
      <c r="E788" t="s">
        <v>2700</v>
      </c>
      <c r="F788" t="s">
        <v>16</v>
      </c>
      <c r="G788" t="s">
        <v>106</v>
      </c>
      <c r="H788">
        <v>12</v>
      </c>
      <c r="I788">
        <v>2304</v>
      </c>
      <c r="J788" t="s">
        <v>374</v>
      </c>
      <c r="K788" s="17">
        <v>1.03</v>
      </c>
      <c r="L788" s="3">
        <f t="shared" si="12"/>
        <v>0</v>
      </c>
      <c r="N788" t="s">
        <v>2701</v>
      </c>
      <c r="O788" t="s">
        <v>2702</v>
      </c>
      <c r="P788">
        <v>3.895</v>
      </c>
    </row>
    <row r="789" spans="1:16" x14ac:dyDescent="0.35">
      <c r="A789" s="5" t="str">
        <f>HYPERLINK("https://tienda.tarracoimportexport.com/index.php?id_product=9196&amp;controller=product&amp;id_lang=4", "TR010271")</f>
        <v>TR010271</v>
      </c>
      <c r="B789" t="s">
        <v>2703</v>
      </c>
      <c r="D789" s="4">
        <v>7956</v>
      </c>
      <c r="E789" t="s">
        <v>2704</v>
      </c>
      <c r="F789" t="s">
        <v>16</v>
      </c>
      <c r="G789" t="s">
        <v>50</v>
      </c>
      <c r="H789">
        <v>32</v>
      </c>
      <c r="I789">
        <v>3072</v>
      </c>
      <c r="J789" t="s">
        <v>1351</v>
      </c>
      <c r="K789" s="17">
        <v>1.03</v>
      </c>
      <c r="L789" s="3">
        <f t="shared" si="12"/>
        <v>0</v>
      </c>
      <c r="N789" t="s">
        <v>2705</v>
      </c>
      <c r="O789" t="s">
        <v>2698</v>
      </c>
      <c r="P789">
        <v>1.71</v>
      </c>
    </row>
    <row r="790" spans="1:16" x14ac:dyDescent="0.35">
      <c r="A790" s="5" t="str">
        <f>HYPERLINK("https://tienda.tarracoimportexport.com/index.php?id_product=9201&amp;controller=product&amp;id_lang=4", "TR010276")</f>
        <v>TR010276</v>
      </c>
      <c r="B790" t="s">
        <v>2706</v>
      </c>
      <c r="D790" s="4">
        <v>1932</v>
      </c>
      <c r="E790" t="s">
        <v>2707</v>
      </c>
      <c r="F790" t="s">
        <v>16</v>
      </c>
      <c r="G790" t="s">
        <v>50</v>
      </c>
      <c r="H790">
        <v>27</v>
      </c>
      <c r="I790">
        <v>2916</v>
      </c>
      <c r="J790" t="s">
        <v>2692</v>
      </c>
      <c r="K790" s="17">
        <v>1.03</v>
      </c>
      <c r="L790" s="3">
        <f t="shared" si="12"/>
        <v>0</v>
      </c>
      <c r="N790" t="s">
        <v>2708</v>
      </c>
      <c r="O790" t="s">
        <v>2694</v>
      </c>
      <c r="P790">
        <v>1.87</v>
      </c>
    </row>
    <row r="791" spans="1:16" x14ac:dyDescent="0.35">
      <c r="A791" s="5" t="str">
        <f>HYPERLINK("https://tienda.tarracoimportexport.com/index.php?id_product=10611&amp;controller=product&amp;id_lang=4", "TR011587")</f>
        <v>TR011587</v>
      </c>
      <c r="B791" t="s">
        <v>2706</v>
      </c>
      <c r="D791" s="4">
        <v>1740</v>
      </c>
      <c r="E791" t="s">
        <v>2707</v>
      </c>
      <c r="F791" t="s">
        <v>16</v>
      </c>
      <c r="G791" t="s">
        <v>50</v>
      </c>
      <c r="H791">
        <v>27</v>
      </c>
      <c r="I791">
        <v>2916</v>
      </c>
      <c r="J791" t="s">
        <v>2692</v>
      </c>
      <c r="K791" s="17">
        <v>1.03</v>
      </c>
      <c r="L791" s="3">
        <f t="shared" si="12"/>
        <v>0</v>
      </c>
      <c r="N791" t="s">
        <v>2709</v>
      </c>
      <c r="O791" t="s">
        <v>2710</v>
      </c>
      <c r="P791">
        <v>1.88</v>
      </c>
    </row>
    <row r="792" spans="1:16" x14ac:dyDescent="0.35">
      <c r="A792" s="5" t="str">
        <f>HYPERLINK("https://tienda.tarracoimportexport.com/index.php?id_product=9260&amp;controller=product&amp;id_lang=4", "TR010333")</f>
        <v>TR010333</v>
      </c>
      <c r="B792" t="s">
        <v>2711</v>
      </c>
      <c r="D792" s="4">
        <v>8838</v>
      </c>
      <c r="E792" t="s">
        <v>2712</v>
      </c>
      <c r="F792" t="s">
        <v>16</v>
      </c>
      <c r="G792" t="s">
        <v>39</v>
      </c>
      <c r="H792">
        <v>64</v>
      </c>
      <c r="I792">
        <v>3072</v>
      </c>
      <c r="J792" t="s">
        <v>2713</v>
      </c>
      <c r="K792" s="17">
        <v>1.03</v>
      </c>
      <c r="L792" s="3">
        <f t="shared" si="12"/>
        <v>0</v>
      </c>
      <c r="N792" t="s">
        <v>2714</v>
      </c>
      <c r="O792" t="s">
        <v>2715</v>
      </c>
      <c r="P792">
        <v>0.85499999999999998</v>
      </c>
    </row>
    <row r="793" spans="1:16" x14ac:dyDescent="0.35">
      <c r="A793" s="5" t="str">
        <f>HYPERLINK("https://tienda.tarracoimportexport.com/index.php?id_product=9197&amp;controller=product&amp;id_lang=4", "TR010272")</f>
        <v>TR010272</v>
      </c>
      <c r="B793" t="s">
        <v>2711</v>
      </c>
      <c r="D793" s="4">
        <v>16356</v>
      </c>
      <c r="E793" t="s">
        <v>2712</v>
      </c>
      <c r="F793" t="s">
        <v>16</v>
      </c>
      <c r="G793" t="s">
        <v>50</v>
      </c>
      <c r="H793">
        <v>32</v>
      </c>
      <c r="I793">
        <v>3072</v>
      </c>
      <c r="J793" t="s">
        <v>1351</v>
      </c>
      <c r="K793" s="17">
        <v>1.03</v>
      </c>
      <c r="L793" s="3">
        <f t="shared" si="12"/>
        <v>0</v>
      </c>
      <c r="N793" t="s">
        <v>2716</v>
      </c>
      <c r="O793" t="s">
        <v>2698</v>
      </c>
      <c r="P793">
        <v>1.71</v>
      </c>
    </row>
    <row r="794" spans="1:16" x14ac:dyDescent="0.35">
      <c r="A794" s="5" t="str">
        <f>HYPERLINK("https://tienda.tarracoimportexport.com/index.php?id_product=10113&amp;controller=product&amp;id_lang=4", "TR011152")</f>
        <v>TR011152</v>
      </c>
      <c r="B794" t="s">
        <v>2717</v>
      </c>
      <c r="D794" s="4">
        <v>18768</v>
      </c>
      <c r="E794" t="s">
        <v>2718</v>
      </c>
      <c r="F794" t="s">
        <v>16</v>
      </c>
      <c r="G794" t="s">
        <v>50</v>
      </c>
      <c r="H794">
        <v>27</v>
      </c>
      <c r="I794">
        <v>2916</v>
      </c>
      <c r="J794" t="s">
        <v>2692</v>
      </c>
      <c r="K794" s="17">
        <v>1.03</v>
      </c>
      <c r="L794" s="3">
        <f t="shared" si="12"/>
        <v>0</v>
      </c>
      <c r="N794" t="s">
        <v>2719</v>
      </c>
      <c r="O794" t="s">
        <v>2720</v>
      </c>
      <c r="P794">
        <v>1.865</v>
      </c>
    </row>
    <row r="795" spans="1:16" x14ac:dyDescent="0.35">
      <c r="A795" s="5" t="str">
        <f>HYPERLINK("https://tienda.tarracoimportexport.com/index.php?id_product=9195&amp;controller=product&amp;id_lang=4", "TR010270")</f>
        <v>TR010270</v>
      </c>
      <c r="B795" t="s">
        <v>2721</v>
      </c>
      <c r="D795" s="4">
        <v>19428</v>
      </c>
      <c r="E795" t="s">
        <v>2722</v>
      </c>
      <c r="F795" t="s">
        <v>16</v>
      </c>
      <c r="G795" t="s">
        <v>50</v>
      </c>
      <c r="H795">
        <v>32</v>
      </c>
      <c r="I795">
        <v>3072</v>
      </c>
      <c r="J795" t="s">
        <v>1351</v>
      </c>
      <c r="K795" s="17">
        <v>1.03</v>
      </c>
      <c r="L795" s="3">
        <f t="shared" si="12"/>
        <v>0</v>
      </c>
      <c r="N795" t="s">
        <v>2723</v>
      </c>
      <c r="O795" t="s">
        <v>2698</v>
      </c>
      <c r="P795">
        <v>1.69</v>
      </c>
    </row>
    <row r="796" spans="1:16" x14ac:dyDescent="0.35">
      <c r="A796" s="5" t="str">
        <f>HYPERLINK("https://tienda.tarracoimportexport.com/index.php?id_product=9258&amp;controller=product&amp;id_lang=4", "TR010331")</f>
        <v>TR010331</v>
      </c>
      <c r="B796" t="s">
        <v>2721</v>
      </c>
      <c r="D796" s="4">
        <v>2682</v>
      </c>
      <c r="E796" t="s">
        <v>2722</v>
      </c>
      <c r="F796" t="s">
        <v>16</v>
      </c>
      <c r="G796" t="s">
        <v>39</v>
      </c>
      <c r="H796">
        <v>64</v>
      </c>
      <c r="I796">
        <v>3072</v>
      </c>
      <c r="J796" t="s">
        <v>2713</v>
      </c>
      <c r="K796" s="17">
        <v>1.03</v>
      </c>
      <c r="L796" s="3">
        <f t="shared" si="12"/>
        <v>0</v>
      </c>
      <c r="N796" t="s">
        <v>2724</v>
      </c>
      <c r="O796" t="s">
        <v>2715</v>
      </c>
      <c r="P796">
        <v>0.86</v>
      </c>
    </row>
    <row r="797" spans="1:16" x14ac:dyDescent="0.35">
      <c r="A797" s="5" t="str">
        <f>HYPERLINK("https://tienda.tarracoimportexport.com/index.php?id_product=10531&amp;controller=product&amp;id_lang=4", "TR011508")</f>
        <v>TR011508</v>
      </c>
      <c r="B797" t="s">
        <v>2725</v>
      </c>
      <c r="D797" s="4">
        <v>22332</v>
      </c>
      <c r="E797" t="s">
        <v>2726</v>
      </c>
      <c r="F797" t="s">
        <v>16</v>
      </c>
      <c r="G797" t="s">
        <v>50</v>
      </c>
      <c r="H797">
        <v>27</v>
      </c>
      <c r="I797">
        <v>2916</v>
      </c>
      <c r="J797" t="s">
        <v>2692</v>
      </c>
      <c r="K797" s="17">
        <v>1.03</v>
      </c>
      <c r="L797" s="3">
        <f t="shared" si="12"/>
        <v>0</v>
      </c>
      <c r="N797" t="s">
        <v>2727</v>
      </c>
      <c r="O797" t="s">
        <v>2728</v>
      </c>
      <c r="P797">
        <v>1.89</v>
      </c>
    </row>
    <row r="798" spans="1:16" x14ac:dyDescent="0.35">
      <c r="A798" s="5" t="str">
        <f>HYPERLINK("https://tienda.tarracoimportexport.com/index.php?id_product=10612&amp;controller=product&amp;id_lang=4", "TR011588")</f>
        <v>TR011588</v>
      </c>
      <c r="B798" t="s">
        <v>2729</v>
      </c>
      <c r="D798" s="4">
        <v>7728</v>
      </c>
      <c r="E798" t="s">
        <v>2730</v>
      </c>
      <c r="F798" t="s">
        <v>16</v>
      </c>
      <c r="G798" t="s">
        <v>50</v>
      </c>
      <c r="H798">
        <v>27</v>
      </c>
      <c r="I798">
        <v>2916</v>
      </c>
      <c r="J798" t="s">
        <v>2692</v>
      </c>
      <c r="K798" s="17">
        <v>1.03</v>
      </c>
      <c r="L798" s="3">
        <f t="shared" si="12"/>
        <v>0</v>
      </c>
      <c r="N798" t="s">
        <v>2731</v>
      </c>
      <c r="O798" t="s">
        <v>2732</v>
      </c>
      <c r="P798">
        <v>1.87</v>
      </c>
    </row>
    <row r="799" spans="1:16" x14ac:dyDescent="0.35">
      <c r="A799" s="5" t="str">
        <f>HYPERLINK("https://tienda.tarracoimportexport.com/index.php?id_product=10608&amp;controller=product&amp;id_lang=4", "TR011584")</f>
        <v>TR011584</v>
      </c>
      <c r="B799" t="s">
        <v>2733</v>
      </c>
      <c r="D799" s="4">
        <v>3876</v>
      </c>
      <c r="E799" t="s">
        <v>2734</v>
      </c>
      <c r="F799" t="s">
        <v>16</v>
      </c>
      <c r="G799" t="s">
        <v>39</v>
      </c>
      <c r="H799">
        <v>81</v>
      </c>
      <c r="I799">
        <v>5346</v>
      </c>
      <c r="J799" t="s">
        <v>639</v>
      </c>
      <c r="K799" s="17">
        <v>1.19</v>
      </c>
      <c r="L799" s="3">
        <f t="shared" si="12"/>
        <v>0</v>
      </c>
      <c r="N799" t="s">
        <v>2735</v>
      </c>
      <c r="O799" t="s">
        <v>2736</v>
      </c>
      <c r="P799">
        <v>0.46</v>
      </c>
    </row>
    <row r="800" spans="1:16" x14ac:dyDescent="0.35">
      <c r="A800" s="5" t="str">
        <f>HYPERLINK("https://tienda.tarracoimportexport.com/index.php?id_product=10610&amp;controller=product&amp;id_lang=4", "TR011586")</f>
        <v>TR011586</v>
      </c>
      <c r="B800" t="s">
        <v>2737</v>
      </c>
      <c r="D800" s="4">
        <v>11490</v>
      </c>
      <c r="E800" t="s">
        <v>2738</v>
      </c>
      <c r="F800" t="s">
        <v>16</v>
      </c>
      <c r="G800" t="s">
        <v>39</v>
      </c>
      <c r="H800">
        <v>81</v>
      </c>
      <c r="I800">
        <v>5346</v>
      </c>
      <c r="J800" t="s">
        <v>639</v>
      </c>
      <c r="K800" s="17">
        <v>1.19</v>
      </c>
      <c r="L800" s="3">
        <f t="shared" si="12"/>
        <v>0</v>
      </c>
      <c r="N800" t="s">
        <v>2739</v>
      </c>
      <c r="O800" t="s">
        <v>2736</v>
      </c>
      <c r="P800">
        <v>0.46</v>
      </c>
    </row>
    <row r="801" spans="1:16" x14ac:dyDescent="0.35">
      <c r="A801" s="5" t="str">
        <f>HYPERLINK("https://tienda.tarracoimportexport.com/index.php?id_product=10609&amp;controller=product&amp;id_lang=4", "TR011585")</f>
        <v>TR011585</v>
      </c>
      <c r="B801" t="s">
        <v>2740</v>
      </c>
      <c r="D801" s="4">
        <v>6258</v>
      </c>
      <c r="E801" t="s">
        <v>2741</v>
      </c>
      <c r="F801" t="s">
        <v>16</v>
      </c>
      <c r="G801" t="s">
        <v>39</v>
      </c>
      <c r="H801">
        <v>81</v>
      </c>
      <c r="I801">
        <v>5346</v>
      </c>
      <c r="J801" t="s">
        <v>639</v>
      </c>
      <c r="K801" s="17">
        <v>1.19</v>
      </c>
      <c r="L801" s="3">
        <f t="shared" si="12"/>
        <v>0</v>
      </c>
      <c r="N801" t="s">
        <v>2742</v>
      </c>
      <c r="O801" t="s">
        <v>2743</v>
      </c>
      <c r="P801">
        <v>0.46</v>
      </c>
    </row>
    <row r="802" spans="1:16" x14ac:dyDescent="0.35">
      <c r="A802" s="5" t="str">
        <f>HYPERLINK("https://tienda.tarracoimportexport.com/index.php?id_product=4257&amp;controller=product&amp;id_lang=4", "TR005588")</f>
        <v>TR005588</v>
      </c>
      <c r="B802" t="s">
        <v>2744</v>
      </c>
      <c r="D802" s="4">
        <v>4932</v>
      </c>
      <c r="E802" t="s">
        <v>2745</v>
      </c>
      <c r="F802" t="s">
        <v>16</v>
      </c>
      <c r="G802" t="s">
        <v>39</v>
      </c>
      <c r="H802">
        <v>64</v>
      </c>
      <c r="I802">
        <v>1920</v>
      </c>
      <c r="J802" t="s">
        <v>2746</v>
      </c>
      <c r="K802" s="17">
        <v>1.58</v>
      </c>
      <c r="L802" s="3">
        <f t="shared" si="12"/>
        <v>0</v>
      </c>
      <c r="N802" t="s">
        <v>2747</v>
      </c>
      <c r="O802" t="s">
        <v>30</v>
      </c>
      <c r="P802">
        <v>0.93</v>
      </c>
    </row>
    <row r="803" spans="1:16" x14ac:dyDescent="0.35">
      <c r="A803" s="5" t="str">
        <f>HYPERLINK("https://tienda.tarracoimportexport.com/index.php?id_product=5290&amp;controller=product&amp;id_lang=4", "TR006558")</f>
        <v>TR006558</v>
      </c>
      <c r="B803" t="s">
        <v>2748</v>
      </c>
      <c r="D803" s="4">
        <v>6822</v>
      </c>
      <c r="E803" t="s">
        <v>2749</v>
      </c>
      <c r="F803" t="s">
        <v>16</v>
      </c>
      <c r="G803" t="s">
        <v>39</v>
      </c>
      <c r="H803">
        <v>64</v>
      </c>
      <c r="I803">
        <v>1920</v>
      </c>
      <c r="J803" t="s">
        <v>2746</v>
      </c>
      <c r="K803" s="17">
        <v>1.58</v>
      </c>
      <c r="L803" s="3">
        <f t="shared" si="12"/>
        <v>0</v>
      </c>
      <c r="N803" t="s">
        <v>2750</v>
      </c>
      <c r="O803" t="s">
        <v>30</v>
      </c>
      <c r="P803">
        <v>0.96</v>
      </c>
    </row>
    <row r="804" spans="1:16" x14ac:dyDescent="0.35">
      <c r="A804" s="5" t="str">
        <f>HYPERLINK("https://tienda.tarracoimportexport.com/index.php?id_product=5017&amp;controller=product&amp;id_lang=4", "TR006296")</f>
        <v>TR006296</v>
      </c>
      <c r="B804" t="s">
        <v>2751</v>
      </c>
      <c r="D804" s="4">
        <v>4584</v>
      </c>
      <c r="E804" t="s">
        <v>2752</v>
      </c>
      <c r="F804" t="s">
        <v>16</v>
      </c>
      <c r="G804" t="s">
        <v>39</v>
      </c>
      <c r="H804">
        <v>64</v>
      </c>
      <c r="I804">
        <v>1920</v>
      </c>
      <c r="J804" t="s">
        <v>2746</v>
      </c>
      <c r="K804" s="17">
        <v>1.58</v>
      </c>
      <c r="L804" s="3">
        <f t="shared" si="12"/>
        <v>0</v>
      </c>
      <c r="N804" t="s">
        <v>2753</v>
      </c>
      <c r="O804" t="s">
        <v>30</v>
      </c>
      <c r="P804">
        <v>0.97</v>
      </c>
    </row>
    <row r="805" spans="1:16" x14ac:dyDescent="0.35">
      <c r="A805" s="5" t="str">
        <f>HYPERLINK("https://tienda.tarracoimportexport.com/index.php?id_product=10095&amp;controller=product&amp;id_lang=4", "TR011134")</f>
        <v>TR011134</v>
      </c>
      <c r="B805" t="s">
        <v>2754</v>
      </c>
      <c r="D805" s="4">
        <v>2046</v>
      </c>
      <c r="E805" t="s">
        <v>2755</v>
      </c>
      <c r="F805" t="s">
        <v>16</v>
      </c>
      <c r="G805" t="s">
        <v>39</v>
      </c>
      <c r="H805">
        <v>32</v>
      </c>
      <c r="I805">
        <v>1152</v>
      </c>
      <c r="J805" t="s">
        <v>69</v>
      </c>
      <c r="K805" s="17">
        <v>3.3</v>
      </c>
      <c r="L805" s="3">
        <f t="shared" si="12"/>
        <v>0</v>
      </c>
      <c r="N805" t="s">
        <v>2756</v>
      </c>
      <c r="O805" t="s">
        <v>2075</v>
      </c>
      <c r="P805">
        <v>1.9</v>
      </c>
    </row>
    <row r="806" spans="1:16" x14ac:dyDescent="0.35">
      <c r="A806" s="5" t="str">
        <f>HYPERLINK("https://tienda.tarracoimportexport.com/index.php?id_product=10782&amp;controller=product&amp;id_lang=4", "TR011735")</f>
        <v>TR011735</v>
      </c>
      <c r="B806" t="s">
        <v>2757</v>
      </c>
      <c r="D806" s="4">
        <v>2772</v>
      </c>
      <c r="E806" t="s">
        <v>2758</v>
      </c>
      <c r="F806" t="s">
        <v>16</v>
      </c>
      <c r="G806" t="s">
        <v>39</v>
      </c>
      <c r="H806">
        <v>43</v>
      </c>
      <c r="I806">
        <v>2838</v>
      </c>
      <c r="J806" t="s">
        <v>2759</v>
      </c>
      <c r="K806" s="17">
        <v>2.68</v>
      </c>
      <c r="L806" s="3">
        <f t="shared" si="12"/>
        <v>0</v>
      </c>
      <c r="N806" t="s">
        <v>2760</v>
      </c>
      <c r="O806" t="s">
        <v>2761</v>
      </c>
      <c r="P806">
        <v>0.69</v>
      </c>
    </row>
    <row r="807" spans="1:16" x14ac:dyDescent="0.35">
      <c r="A807" s="5" t="str">
        <f>HYPERLINK("https://tienda.tarracoimportexport.com/index.php?id_product=10828&amp;controller=product&amp;id_lang=4", "TR011775")</f>
        <v>TR011775</v>
      </c>
      <c r="B807" t="s">
        <v>2762</v>
      </c>
      <c r="D807" s="4">
        <v>2094</v>
      </c>
      <c r="E807" t="s">
        <v>2763</v>
      </c>
      <c r="F807" t="s">
        <v>16</v>
      </c>
      <c r="G807" t="s">
        <v>39</v>
      </c>
      <c r="H807">
        <v>43</v>
      </c>
      <c r="I807">
        <v>2838</v>
      </c>
      <c r="J807" t="s">
        <v>2759</v>
      </c>
      <c r="K807" s="17">
        <v>2.68</v>
      </c>
      <c r="L807" s="3">
        <f t="shared" si="12"/>
        <v>0</v>
      </c>
      <c r="N807" t="s">
        <v>2764</v>
      </c>
      <c r="O807" t="s">
        <v>2765</v>
      </c>
      <c r="P807">
        <v>0.69499999999999995</v>
      </c>
    </row>
    <row r="808" spans="1:16" x14ac:dyDescent="0.35">
      <c r="A808" s="5" t="str">
        <f>HYPERLINK("https://tienda.tarracoimportexport.com/index.php?id_product=10829&amp;controller=product&amp;id_lang=4", "TR011776")</f>
        <v>TR011776</v>
      </c>
      <c r="B808" t="s">
        <v>2766</v>
      </c>
      <c r="D808" s="4">
        <v>426</v>
      </c>
      <c r="E808" t="s">
        <v>2767</v>
      </c>
      <c r="F808" t="s">
        <v>16</v>
      </c>
      <c r="G808" t="s">
        <v>39</v>
      </c>
      <c r="H808">
        <v>43</v>
      </c>
      <c r="I808">
        <v>2838</v>
      </c>
      <c r="J808" t="s">
        <v>2759</v>
      </c>
      <c r="K808" s="17">
        <v>2.68</v>
      </c>
      <c r="L808" s="3">
        <f t="shared" si="12"/>
        <v>0</v>
      </c>
      <c r="N808" t="s">
        <v>2768</v>
      </c>
      <c r="O808" t="s">
        <v>2769</v>
      </c>
      <c r="P808">
        <v>0.69499999999999995</v>
      </c>
    </row>
    <row r="809" spans="1:16" x14ac:dyDescent="0.35">
      <c r="A809" s="5" t="str">
        <f>HYPERLINK("https://tienda.tarracoimportexport.com/index.php?id_product=10812&amp;controller=product&amp;id_lang=4", "TR011760")</f>
        <v>TR011760</v>
      </c>
      <c r="B809" t="s">
        <v>2770</v>
      </c>
      <c r="D809" s="4">
        <v>240</v>
      </c>
      <c r="E809" t="s">
        <v>2771</v>
      </c>
      <c r="F809" t="s">
        <v>16</v>
      </c>
      <c r="G809" t="s">
        <v>39</v>
      </c>
      <c r="H809">
        <v>43</v>
      </c>
      <c r="I809">
        <v>2838</v>
      </c>
      <c r="J809" t="s">
        <v>2759</v>
      </c>
      <c r="K809" s="17">
        <v>2.68</v>
      </c>
      <c r="L809" s="3">
        <f t="shared" si="12"/>
        <v>0</v>
      </c>
      <c r="N809" t="s">
        <v>2772</v>
      </c>
      <c r="O809" t="s">
        <v>2773</v>
      </c>
      <c r="P809">
        <v>0.69</v>
      </c>
    </row>
    <row r="810" spans="1:16" x14ac:dyDescent="0.35">
      <c r="A810" s="5" t="str">
        <f>HYPERLINK("https://tienda.tarracoimportexport.com/index.php?id_product=10783&amp;controller=product&amp;id_lang=4", "TR011736")</f>
        <v>TR011736</v>
      </c>
      <c r="B810" t="s">
        <v>2774</v>
      </c>
      <c r="D810" s="4">
        <v>2718</v>
      </c>
      <c r="E810" t="s">
        <v>2775</v>
      </c>
      <c r="F810" t="s">
        <v>16</v>
      </c>
      <c r="G810" t="s">
        <v>39</v>
      </c>
      <c r="H810">
        <v>44</v>
      </c>
      <c r="I810">
        <v>2838</v>
      </c>
      <c r="J810" t="s">
        <v>2759</v>
      </c>
      <c r="K810" s="17">
        <v>2.68</v>
      </c>
      <c r="L810" s="3">
        <f t="shared" si="12"/>
        <v>0</v>
      </c>
      <c r="N810" t="s">
        <v>2776</v>
      </c>
      <c r="O810" t="s">
        <v>2777</v>
      </c>
      <c r="P810">
        <v>0.69</v>
      </c>
    </row>
    <row r="811" spans="1:16" x14ac:dyDescent="0.35">
      <c r="A811" s="5" t="str">
        <f>HYPERLINK("https://tienda.tarracoimportexport.com/index.php?id_product=3451&amp;controller=product&amp;id_lang=4", "TR004896")</f>
        <v>TR004896</v>
      </c>
      <c r="B811" t="s">
        <v>2778</v>
      </c>
      <c r="D811" s="4">
        <v>9576</v>
      </c>
      <c r="E811" t="s">
        <v>2779</v>
      </c>
      <c r="F811" t="s">
        <v>606</v>
      </c>
      <c r="G811" t="s">
        <v>106</v>
      </c>
      <c r="H811">
        <v>21</v>
      </c>
      <c r="I811">
        <v>4032</v>
      </c>
      <c r="J811" t="s">
        <v>363</v>
      </c>
      <c r="K811" s="17">
        <v>0.22</v>
      </c>
      <c r="L811" s="3">
        <f t="shared" si="12"/>
        <v>0</v>
      </c>
      <c r="N811" t="s">
        <v>2780</v>
      </c>
      <c r="O811" t="s">
        <v>2781</v>
      </c>
      <c r="P811">
        <v>2.5</v>
      </c>
    </row>
    <row r="812" spans="1:16" x14ac:dyDescent="0.35">
      <c r="A812" s="5" t="str">
        <f>HYPERLINK("https://tienda.tarracoimportexport.com/index.php?id_product=5029&amp;controller=product&amp;id_lang=4", "TR006308")</f>
        <v>TR006308</v>
      </c>
      <c r="B812" t="s">
        <v>2782</v>
      </c>
      <c r="D812" s="4">
        <v>13088</v>
      </c>
      <c r="E812" t="s">
        <v>2783</v>
      </c>
      <c r="F812" t="s">
        <v>16</v>
      </c>
      <c r="G812" t="s">
        <v>290</v>
      </c>
      <c r="H812">
        <v>10</v>
      </c>
      <c r="I812">
        <v>960</v>
      </c>
      <c r="J812" t="s">
        <v>516</v>
      </c>
      <c r="K812" s="17">
        <v>0.51</v>
      </c>
      <c r="L812" s="3">
        <f t="shared" si="12"/>
        <v>0</v>
      </c>
      <c r="N812" t="s">
        <v>2784</v>
      </c>
      <c r="O812" t="s">
        <v>550</v>
      </c>
      <c r="P812">
        <v>8.25</v>
      </c>
    </row>
    <row r="813" spans="1:16" x14ac:dyDescent="0.35">
      <c r="A813" s="5" t="str">
        <f>HYPERLINK("https://tienda.tarracoimportexport.com/index.php?id_product=8199&amp;controller=product&amp;id_lang=4", "TR009354")</f>
        <v>TR009354</v>
      </c>
      <c r="B813" t="s">
        <v>2785</v>
      </c>
      <c r="D813" s="4">
        <v>2192</v>
      </c>
      <c r="E813" t="s">
        <v>2786</v>
      </c>
      <c r="F813" t="s">
        <v>2787</v>
      </c>
      <c r="G813" t="s">
        <v>62</v>
      </c>
      <c r="H813">
        <v>12</v>
      </c>
      <c r="I813">
        <v>480</v>
      </c>
      <c r="J813" t="s">
        <v>516</v>
      </c>
      <c r="K813" s="17">
        <v>1.66</v>
      </c>
      <c r="L813" s="3">
        <f t="shared" si="12"/>
        <v>0</v>
      </c>
      <c r="N813" t="s">
        <v>2788</v>
      </c>
      <c r="O813" t="s">
        <v>30</v>
      </c>
      <c r="P813">
        <v>10.47</v>
      </c>
    </row>
    <row r="814" spans="1:16" x14ac:dyDescent="0.35">
      <c r="A814" s="5" t="str">
        <f>HYPERLINK("https://tienda.tarracoimportexport.com/index.php?id_product=9516&amp;controller=product&amp;id_lang=4", "TR010581")</f>
        <v>TR010581</v>
      </c>
      <c r="B814" t="s">
        <v>2789</v>
      </c>
      <c r="D814" s="4">
        <v>84</v>
      </c>
      <c r="E814" t="s">
        <v>2790</v>
      </c>
      <c r="F814" t="s">
        <v>2791</v>
      </c>
      <c r="G814" t="s">
        <v>50</v>
      </c>
      <c r="H814">
        <v>10</v>
      </c>
      <c r="I814">
        <v>600</v>
      </c>
      <c r="J814" t="s">
        <v>327</v>
      </c>
      <c r="K814" s="17">
        <v>1.66</v>
      </c>
      <c r="L814" s="3">
        <f t="shared" si="12"/>
        <v>0</v>
      </c>
      <c r="N814" t="s">
        <v>2792</v>
      </c>
      <c r="O814" t="s">
        <v>30</v>
      </c>
      <c r="P814">
        <v>10.45</v>
      </c>
    </row>
    <row r="815" spans="1:16" x14ac:dyDescent="0.35">
      <c r="A815" s="5" t="str">
        <f>HYPERLINK("https://tienda.tarracoimportexport.com/index.php?id_product=7291&amp;controller=product&amp;id_lang=4", "TR008476")</f>
        <v>TR008476</v>
      </c>
      <c r="B815" t="s">
        <v>2793</v>
      </c>
      <c r="D815" s="4">
        <v>1380</v>
      </c>
      <c r="E815" t="s">
        <v>2794</v>
      </c>
      <c r="F815" t="s">
        <v>2791</v>
      </c>
      <c r="G815" t="s">
        <v>50</v>
      </c>
      <c r="H815">
        <v>10</v>
      </c>
      <c r="I815">
        <v>600</v>
      </c>
      <c r="J815" t="s">
        <v>327</v>
      </c>
      <c r="K815" s="17">
        <v>1.66</v>
      </c>
      <c r="L815" s="3">
        <f t="shared" si="12"/>
        <v>0</v>
      </c>
      <c r="N815" t="s">
        <v>2795</v>
      </c>
      <c r="O815" t="s">
        <v>30</v>
      </c>
      <c r="P815">
        <v>10.35</v>
      </c>
    </row>
    <row r="816" spans="1:16" x14ac:dyDescent="0.35">
      <c r="A816" s="5" t="str">
        <f>HYPERLINK("https://tienda.tarracoimportexport.com/index.php?id_product=7535&amp;controller=product&amp;id_lang=4", "TR008711")</f>
        <v>TR008711</v>
      </c>
      <c r="B816" t="s">
        <v>2796</v>
      </c>
      <c r="D816" s="4">
        <v>1776</v>
      </c>
      <c r="E816" t="s">
        <v>2797</v>
      </c>
      <c r="F816" t="s">
        <v>757</v>
      </c>
      <c r="G816" t="s">
        <v>50</v>
      </c>
      <c r="H816">
        <v>10</v>
      </c>
      <c r="I816">
        <v>600</v>
      </c>
      <c r="J816" t="s">
        <v>327</v>
      </c>
      <c r="K816" s="17">
        <v>1.66</v>
      </c>
      <c r="L816" s="3">
        <f t="shared" si="12"/>
        <v>0</v>
      </c>
      <c r="N816" t="s">
        <v>2798</v>
      </c>
      <c r="O816" t="s">
        <v>30</v>
      </c>
      <c r="P816">
        <v>10.345000000000001</v>
      </c>
    </row>
    <row r="817" spans="1:16" x14ac:dyDescent="0.35">
      <c r="A817" s="5" t="str">
        <f>HYPERLINK("https://tienda.tarracoimportexport.com/index.php?id_product=9517&amp;controller=product&amp;id_lang=4", "TR010582")</f>
        <v>TR010582</v>
      </c>
      <c r="B817" t="s">
        <v>2799</v>
      </c>
      <c r="D817" s="4">
        <v>4728</v>
      </c>
      <c r="E817" t="s">
        <v>2800</v>
      </c>
      <c r="F817" t="s">
        <v>2787</v>
      </c>
      <c r="G817" t="s">
        <v>50</v>
      </c>
      <c r="H817">
        <v>10</v>
      </c>
      <c r="I817">
        <v>600</v>
      </c>
      <c r="J817" t="s">
        <v>327</v>
      </c>
      <c r="K817" s="17">
        <v>1.66</v>
      </c>
      <c r="L817" s="3">
        <f t="shared" si="12"/>
        <v>0</v>
      </c>
      <c r="N817" t="s">
        <v>2801</v>
      </c>
      <c r="O817" t="s">
        <v>30</v>
      </c>
      <c r="P817">
        <v>10.404999999999999</v>
      </c>
    </row>
    <row r="818" spans="1:16" s="26" customFormat="1" x14ac:dyDescent="0.35">
      <c r="A818" s="27" t="str">
        <f>HYPERLINK("https://tienda.tarracoimportexport.com/index.php?id_product=8424&amp;controller=product&amp;id_lang=4", "TR009565")</f>
        <v>TR009565</v>
      </c>
      <c r="B818" s="26" t="s">
        <v>3157</v>
      </c>
      <c r="D818" s="30">
        <v>61200</v>
      </c>
      <c r="E818" s="26" t="s">
        <v>3158</v>
      </c>
      <c r="F818" s="26" t="s">
        <v>16</v>
      </c>
      <c r="G818" s="26" t="s">
        <v>94</v>
      </c>
      <c r="H818" s="26">
        <v>11</v>
      </c>
      <c r="I818" s="26">
        <v>3168</v>
      </c>
      <c r="J818" s="26" t="s">
        <v>243</v>
      </c>
      <c r="K818" s="31">
        <v>0.6</v>
      </c>
      <c r="L818" s="28">
        <f>K818*C818</f>
        <v>0</v>
      </c>
      <c r="M818" s="29"/>
      <c r="N818" s="26" t="s">
        <v>3159</v>
      </c>
      <c r="O818" s="26" t="s">
        <v>2915</v>
      </c>
      <c r="P818" s="26">
        <v>12.94</v>
      </c>
    </row>
    <row r="819" spans="1:16" s="26" customFormat="1" x14ac:dyDescent="0.35">
      <c r="A819" s="27" t="str">
        <f>HYPERLINK("https://tienda.tarracoimportexport.com/index.php?id_product=8425&amp;controller=product&amp;id_lang=4", "TR009566")</f>
        <v>TR009566</v>
      </c>
      <c r="B819" s="26" t="s">
        <v>3160</v>
      </c>
      <c r="D819" s="30">
        <v>61200</v>
      </c>
      <c r="E819" s="26" t="s">
        <v>3161</v>
      </c>
      <c r="F819" s="26" t="s">
        <v>16</v>
      </c>
      <c r="G819" s="26" t="s">
        <v>94</v>
      </c>
      <c r="H819" s="26">
        <v>11</v>
      </c>
      <c r="I819" s="26">
        <v>3168</v>
      </c>
      <c r="J819" s="26" t="s">
        <v>243</v>
      </c>
      <c r="K819" s="31">
        <v>0.6</v>
      </c>
      <c r="L819" s="28">
        <f>K819*C819</f>
        <v>0</v>
      </c>
      <c r="M819" s="29"/>
      <c r="N819" s="26" t="s">
        <v>3162</v>
      </c>
      <c r="O819" s="26" t="s">
        <v>2915</v>
      </c>
      <c r="P819" s="26">
        <v>12.86</v>
      </c>
    </row>
    <row r="820" spans="1:16" x14ac:dyDescent="0.35">
      <c r="A820" s="5" t="str">
        <f>HYPERLINK("https://tienda.tarracoimportexport.com/index.php?id_product=8515&amp;controller=product&amp;id_lang=4", "TR009655")</f>
        <v>TR009655</v>
      </c>
      <c r="B820" t="s">
        <v>2802</v>
      </c>
      <c r="D820" s="4">
        <v>60</v>
      </c>
      <c r="E820" t="s">
        <v>2803</v>
      </c>
      <c r="F820" t="s">
        <v>16</v>
      </c>
      <c r="G820" t="s">
        <v>17</v>
      </c>
      <c r="H820">
        <v>15</v>
      </c>
      <c r="I820">
        <v>1200</v>
      </c>
      <c r="J820" t="s">
        <v>516</v>
      </c>
      <c r="K820" s="17">
        <v>1.2</v>
      </c>
      <c r="L820" s="3">
        <f t="shared" si="12"/>
        <v>0</v>
      </c>
      <c r="N820" t="s">
        <v>2804</v>
      </c>
      <c r="O820" t="s">
        <v>2805</v>
      </c>
      <c r="P820">
        <v>0.72499999999999998</v>
      </c>
    </row>
    <row r="821" spans="1:16" x14ac:dyDescent="0.35">
      <c r="A821" s="5" t="str">
        <f>HYPERLINK("https://tienda.tarracoimportexport.com/index.php?id_product=8802&amp;controller=product&amp;id_lang=4", "TR009913")</f>
        <v>TR009913</v>
      </c>
      <c r="B821" t="s">
        <v>2806</v>
      </c>
      <c r="D821" s="4">
        <v>3056</v>
      </c>
      <c r="E821" t="s">
        <v>2807</v>
      </c>
      <c r="F821" t="s">
        <v>16</v>
      </c>
      <c r="G821" t="s">
        <v>62</v>
      </c>
      <c r="H821">
        <v>10</v>
      </c>
      <c r="I821">
        <v>560</v>
      </c>
      <c r="J821" t="s">
        <v>192</v>
      </c>
      <c r="K821" s="17">
        <v>3.45</v>
      </c>
      <c r="L821" s="3">
        <f t="shared" si="12"/>
        <v>0</v>
      </c>
      <c r="N821" t="s">
        <v>2808</v>
      </c>
      <c r="O821" t="s">
        <v>30</v>
      </c>
      <c r="P821">
        <v>5.15</v>
      </c>
    </row>
    <row r="822" spans="1:16" x14ac:dyDescent="0.35">
      <c r="A822" s="5" t="str">
        <f>HYPERLINK("https://tienda.tarracoimportexport.com/index.php?id_product=10048&amp;controller=product&amp;id_lang=4", "TR011087")</f>
        <v>TR011087</v>
      </c>
      <c r="B822" t="s">
        <v>2809</v>
      </c>
      <c r="D822" s="4">
        <v>3304</v>
      </c>
      <c r="E822" t="s">
        <v>2810</v>
      </c>
      <c r="F822" t="s">
        <v>16</v>
      </c>
      <c r="G822" t="s">
        <v>242</v>
      </c>
      <c r="H822">
        <v>20</v>
      </c>
      <c r="I822">
        <v>400</v>
      </c>
      <c r="J822" t="s">
        <v>996</v>
      </c>
      <c r="K822" s="17">
        <v>4.92</v>
      </c>
      <c r="L822" s="3">
        <f t="shared" ref="L822:L827" si="13">K822*C822</f>
        <v>0</v>
      </c>
      <c r="N822" t="s">
        <v>2811</v>
      </c>
      <c r="O822" t="s">
        <v>30</v>
      </c>
      <c r="P822">
        <v>4.125</v>
      </c>
    </row>
    <row r="823" spans="1:16" x14ac:dyDescent="0.35">
      <c r="A823" s="5" t="str">
        <f>HYPERLINK("https://tienda.tarracoimportexport.com/index.php?id_product=9044&amp;controller=product&amp;id_lang=4", "TR010128")</f>
        <v>TR010128</v>
      </c>
      <c r="B823" t="s">
        <v>2812</v>
      </c>
      <c r="D823" s="4">
        <v>2756</v>
      </c>
      <c r="E823" t="s">
        <v>2813</v>
      </c>
      <c r="F823" t="s">
        <v>16</v>
      </c>
      <c r="G823" t="s">
        <v>242</v>
      </c>
      <c r="H823">
        <v>12</v>
      </c>
      <c r="I823">
        <v>288</v>
      </c>
      <c r="J823" t="s">
        <v>94</v>
      </c>
      <c r="K823" s="17">
        <v>6.99</v>
      </c>
      <c r="L823" s="3">
        <f t="shared" si="13"/>
        <v>0</v>
      </c>
      <c r="N823" t="s">
        <v>2814</v>
      </c>
      <c r="O823" t="s">
        <v>30</v>
      </c>
      <c r="P823">
        <v>4.87</v>
      </c>
    </row>
    <row r="824" spans="1:16" x14ac:dyDescent="0.35">
      <c r="A824" s="5" t="str">
        <f>HYPERLINK("https://tienda.tarracoimportexport.com/index.php?id_product=10067&amp;controller=product&amp;id_lang=4", "TR011106")</f>
        <v>TR011106</v>
      </c>
      <c r="B824" t="s">
        <v>2815</v>
      </c>
      <c r="D824" s="4">
        <v>4150</v>
      </c>
      <c r="E824" t="s">
        <v>2816</v>
      </c>
      <c r="F824" t="s">
        <v>16</v>
      </c>
      <c r="G824" t="s">
        <v>46</v>
      </c>
      <c r="H824">
        <v>12</v>
      </c>
      <c r="I824">
        <v>240</v>
      </c>
      <c r="J824" t="s">
        <v>202</v>
      </c>
      <c r="K824" s="17">
        <v>3.65</v>
      </c>
      <c r="L824" s="3">
        <f t="shared" si="13"/>
        <v>0</v>
      </c>
      <c r="N824" t="s">
        <v>2817</v>
      </c>
      <c r="O824" t="s">
        <v>30</v>
      </c>
      <c r="P824">
        <v>8.3849999999999998</v>
      </c>
    </row>
    <row r="825" spans="1:16" x14ac:dyDescent="0.35">
      <c r="A825" s="5" t="str">
        <f>HYPERLINK("https://tienda.tarracoimportexport.com/index.php?id_product=8856&amp;controller=product&amp;id_lang=4", "TR009952")</f>
        <v>TR009952</v>
      </c>
      <c r="B825" t="s">
        <v>2818</v>
      </c>
      <c r="D825" s="4">
        <v>1402</v>
      </c>
      <c r="E825" t="s">
        <v>2819</v>
      </c>
      <c r="F825" t="s">
        <v>16</v>
      </c>
      <c r="G825" t="s">
        <v>89</v>
      </c>
      <c r="H825">
        <v>16</v>
      </c>
      <c r="I825">
        <v>128</v>
      </c>
      <c r="J825" t="s">
        <v>388</v>
      </c>
      <c r="K825" s="17">
        <v>8.65</v>
      </c>
      <c r="L825" s="3">
        <f t="shared" si="13"/>
        <v>0</v>
      </c>
      <c r="N825" t="s">
        <v>2820</v>
      </c>
      <c r="O825" t="s">
        <v>30</v>
      </c>
      <c r="P825">
        <v>9.8650000000000002</v>
      </c>
    </row>
    <row r="826" spans="1:16" x14ac:dyDescent="0.35">
      <c r="A826" s="5" t="str">
        <f>HYPERLINK("https://tienda.tarracoimportexport.com/index.php?id_product=8872&amp;controller=product&amp;id_lang=4", "TR009964")</f>
        <v>TR009964</v>
      </c>
      <c r="B826" t="s">
        <v>2821</v>
      </c>
      <c r="D826" s="4">
        <v>7640</v>
      </c>
      <c r="E826" t="s">
        <v>2822</v>
      </c>
      <c r="F826" t="s">
        <v>16</v>
      </c>
      <c r="G826" t="s">
        <v>46</v>
      </c>
      <c r="H826">
        <v>12</v>
      </c>
      <c r="I826">
        <v>240</v>
      </c>
      <c r="J826" t="s">
        <v>202</v>
      </c>
      <c r="K826" s="17">
        <v>3.65</v>
      </c>
      <c r="L826" s="3">
        <f t="shared" si="13"/>
        <v>0</v>
      </c>
      <c r="N826" t="s">
        <v>2823</v>
      </c>
      <c r="O826" t="s">
        <v>30</v>
      </c>
      <c r="P826">
        <v>8.8350000000000009</v>
      </c>
    </row>
    <row r="827" spans="1:16" x14ac:dyDescent="0.35">
      <c r="A827" s="5" t="str">
        <f>HYPERLINK("https://tienda.tarracoimportexport.com/index.php?id_product=10068&amp;controller=product&amp;id_lang=4", "TR011107")</f>
        <v>TR011107</v>
      </c>
      <c r="B827" t="s">
        <v>2824</v>
      </c>
      <c r="D827" s="4">
        <v>3100</v>
      </c>
      <c r="E827" t="s">
        <v>2825</v>
      </c>
      <c r="F827" t="s">
        <v>16</v>
      </c>
      <c r="G827" t="s">
        <v>242</v>
      </c>
      <c r="H827">
        <v>12</v>
      </c>
      <c r="I827">
        <v>192</v>
      </c>
      <c r="J827" t="s">
        <v>202</v>
      </c>
      <c r="K827" s="17">
        <v>4.79</v>
      </c>
      <c r="L827" s="3">
        <f t="shared" si="13"/>
        <v>0</v>
      </c>
      <c r="N827" t="s">
        <v>2826</v>
      </c>
      <c r="O827" t="s">
        <v>30</v>
      </c>
      <c r="P827">
        <v>9.1150000000000002</v>
      </c>
    </row>
    <row r="828" spans="1:16" s="23" customFormat="1" x14ac:dyDescent="0.35">
      <c r="A828" s="18" t="str">
        <f>HYPERLINK("https://tienda.tarracoimportexport.com/index.php?id_product=8825&amp;controller=product&amp;id_lang=4", "TR009929")</f>
        <v>TR009929</v>
      </c>
      <c r="B828" s="19" t="s">
        <v>3125</v>
      </c>
      <c r="C828" s="20"/>
      <c r="D828" s="24">
        <v>2787</v>
      </c>
      <c r="E828" s="19" t="s">
        <v>3126</v>
      </c>
      <c r="F828" s="19" t="s">
        <v>16</v>
      </c>
      <c r="G828" s="19" t="s">
        <v>526</v>
      </c>
      <c r="H828" s="19">
        <v>16</v>
      </c>
      <c r="I828" s="19">
        <v>64</v>
      </c>
      <c r="J828" s="19" t="s">
        <v>388</v>
      </c>
      <c r="K828" s="25">
        <v>12.35</v>
      </c>
      <c r="L828" s="21">
        <f t="shared" ref="L828" si="14">K828*C828</f>
        <v>0</v>
      </c>
      <c r="M828" s="22"/>
      <c r="N828" s="19" t="s">
        <v>3126</v>
      </c>
      <c r="O828" s="19" t="s">
        <v>30</v>
      </c>
      <c r="P828" s="23">
        <v>8.4350000000000005</v>
      </c>
    </row>
    <row r="829" spans="1:16" x14ac:dyDescent="0.35">
      <c r="A829" s="5" t="str">
        <f>HYPERLINK("https://tienda.tarracoimportexport.com/index.php?id_product=9141&amp;controller=product&amp;id_lang=4", "TR010225")</f>
        <v>TR010225</v>
      </c>
      <c r="B829" t="s">
        <v>2827</v>
      </c>
      <c r="D829" s="4">
        <v>460</v>
      </c>
      <c r="E829" t="s">
        <v>2828</v>
      </c>
      <c r="F829" t="s">
        <v>16</v>
      </c>
      <c r="G829" t="s">
        <v>242</v>
      </c>
      <c r="H829">
        <v>12</v>
      </c>
      <c r="I829">
        <v>288</v>
      </c>
      <c r="J829" t="s">
        <v>94</v>
      </c>
      <c r="K829" s="17">
        <v>4.75</v>
      </c>
      <c r="L829" s="3">
        <f t="shared" ref="L829:L891" si="15">K829*C829</f>
        <v>0</v>
      </c>
      <c r="N829" t="s">
        <v>2829</v>
      </c>
      <c r="O829" t="s">
        <v>30</v>
      </c>
      <c r="P829">
        <v>7.62</v>
      </c>
    </row>
    <row r="830" spans="1:16" x14ac:dyDescent="0.35">
      <c r="A830" s="5" t="str">
        <f>HYPERLINK("https://tienda.tarracoimportexport.com/index.php?id_product=9312&amp;controller=product&amp;id_lang=4", "TR010385")</f>
        <v>TR010385</v>
      </c>
      <c r="B830" t="s">
        <v>2830</v>
      </c>
      <c r="D830" s="4">
        <v>19848</v>
      </c>
      <c r="E830" t="s">
        <v>2831</v>
      </c>
      <c r="F830" t="s">
        <v>16</v>
      </c>
      <c r="G830" t="s">
        <v>50</v>
      </c>
      <c r="H830">
        <v>19</v>
      </c>
      <c r="I830">
        <v>1368</v>
      </c>
      <c r="J830" t="s">
        <v>352</v>
      </c>
      <c r="K830" s="17">
        <v>1.32</v>
      </c>
      <c r="L830" s="3">
        <f t="shared" si="15"/>
        <v>0</v>
      </c>
      <c r="N830" t="s">
        <v>2832</v>
      </c>
      <c r="O830" t="s">
        <v>354</v>
      </c>
      <c r="P830">
        <v>6.82</v>
      </c>
    </row>
    <row r="831" spans="1:16" x14ac:dyDescent="0.35">
      <c r="A831" s="5" t="str">
        <f>HYPERLINK("https://tienda.tarracoimportexport.com/index.php?id_product=10097&amp;controller=product&amp;id_lang=4", "TR011136")</f>
        <v>TR011136</v>
      </c>
      <c r="B831" t="s">
        <v>2833</v>
      </c>
      <c r="D831" s="4">
        <v>13608</v>
      </c>
      <c r="E831" t="s">
        <v>2834</v>
      </c>
      <c r="F831" t="s">
        <v>16</v>
      </c>
      <c r="G831" t="s">
        <v>50</v>
      </c>
      <c r="H831">
        <v>19</v>
      </c>
      <c r="I831">
        <v>1368</v>
      </c>
      <c r="J831" t="s">
        <v>352</v>
      </c>
      <c r="K831" s="17">
        <v>1.32</v>
      </c>
      <c r="L831" s="3">
        <f t="shared" si="15"/>
        <v>0</v>
      </c>
      <c r="N831" t="s">
        <v>2835</v>
      </c>
      <c r="O831" t="s">
        <v>354</v>
      </c>
      <c r="P831">
        <v>6.9349999999999996</v>
      </c>
    </row>
    <row r="832" spans="1:16" x14ac:dyDescent="0.35">
      <c r="A832" s="5" t="str">
        <f>HYPERLINK("https://tienda.tarracoimportexport.com/index.php?id_product=7408&amp;controller=product&amp;id_lang=4", "TR008587")</f>
        <v>TR008587</v>
      </c>
      <c r="B832" t="s">
        <v>2836</v>
      </c>
      <c r="D832" s="4">
        <v>5466</v>
      </c>
      <c r="E832" t="s">
        <v>2837</v>
      </c>
      <c r="F832" t="s">
        <v>2838</v>
      </c>
      <c r="G832" t="s">
        <v>39</v>
      </c>
      <c r="H832">
        <v>26</v>
      </c>
      <c r="I832">
        <v>1716</v>
      </c>
      <c r="J832" t="s">
        <v>2839</v>
      </c>
      <c r="K832" s="17">
        <v>2.0499999999999998</v>
      </c>
      <c r="L832" s="3">
        <f t="shared" si="15"/>
        <v>0</v>
      </c>
      <c r="N832" t="s">
        <v>2840</v>
      </c>
      <c r="O832" t="s">
        <v>2841</v>
      </c>
      <c r="P832">
        <v>0.66</v>
      </c>
    </row>
    <row r="833" spans="1:16" x14ac:dyDescent="0.35">
      <c r="A833" s="5" t="str">
        <f>HYPERLINK("https://tienda.tarracoimportexport.com/index.php?id_product=7412&amp;controller=product&amp;id_lang=4", "TR008591")</f>
        <v>TR008591</v>
      </c>
      <c r="B833" t="s">
        <v>2842</v>
      </c>
      <c r="D833" s="4">
        <v>2508</v>
      </c>
      <c r="E833" t="s">
        <v>2845</v>
      </c>
      <c r="F833" t="s">
        <v>2846</v>
      </c>
      <c r="G833" t="s">
        <v>39</v>
      </c>
      <c r="H833">
        <v>17</v>
      </c>
      <c r="I833">
        <v>1122</v>
      </c>
      <c r="J833" t="s">
        <v>2847</v>
      </c>
      <c r="K833" s="17">
        <v>2.0499999999999998</v>
      </c>
      <c r="L833" s="3">
        <f t="shared" si="15"/>
        <v>0</v>
      </c>
      <c r="N833" t="s">
        <v>2848</v>
      </c>
      <c r="O833" t="s">
        <v>2849</v>
      </c>
      <c r="P833">
        <v>0.97</v>
      </c>
    </row>
    <row r="834" spans="1:16" x14ac:dyDescent="0.35">
      <c r="A834" s="5" t="str">
        <f>HYPERLINK("https://tienda.tarracoimportexport.com/index.php?id_product=8637&amp;controller=product&amp;id_lang=4", "TR009772")</f>
        <v>TR009772</v>
      </c>
      <c r="B834" t="s">
        <v>2850</v>
      </c>
      <c r="D834" s="4">
        <v>2520</v>
      </c>
      <c r="E834" t="s">
        <v>2851</v>
      </c>
      <c r="F834" t="s">
        <v>2852</v>
      </c>
      <c r="G834" t="s">
        <v>39</v>
      </c>
      <c r="H834">
        <v>20</v>
      </c>
      <c r="I834">
        <v>1320</v>
      </c>
      <c r="J834" t="s">
        <v>2853</v>
      </c>
      <c r="K834" s="17">
        <v>2.0499999999999998</v>
      </c>
      <c r="L834" s="3">
        <f t="shared" si="15"/>
        <v>0</v>
      </c>
      <c r="N834" t="s">
        <v>2854</v>
      </c>
      <c r="O834" t="s">
        <v>2855</v>
      </c>
      <c r="P834">
        <v>0.82</v>
      </c>
    </row>
    <row r="835" spans="1:16" x14ac:dyDescent="0.35">
      <c r="A835" s="5" t="str">
        <f>HYPERLINK("https://tienda.tarracoimportexport.com/index.php?id_product=10600&amp;controller=product&amp;id_lang=4", "TR011576")</f>
        <v>TR011576</v>
      </c>
      <c r="B835" t="s">
        <v>2856</v>
      </c>
      <c r="D835" s="4">
        <v>7536</v>
      </c>
      <c r="E835" t="s">
        <v>2857</v>
      </c>
      <c r="F835" t="s">
        <v>2858</v>
      </c>
      <c r="G835" t="s">
        <v>50</v>
      </c>
      <c r="H835">
        <v>15</v>
      </c>
      <c r="I835">
        <v>1260</v>
      </c>
      <c r="J835" t="s">
        <v>311</v>
      </c>
      <c r="K835" s="17">
        <v>2.15</v>
      </c>
      <c r="L835" s="3">
        <f t="shared" si="15"/>
        <v>0</v>
      </c>
      <c r="N835" t="s">
        <v>2859</v>
      </c>
      <c r="O835" t="s">
        <v>2860</v>
      </c>
      <c r="P835">
        <v>1.62</v>
      </c>
    </row>
    <row r="836" spans="1:16" x14ac:dyDescent="0.35">
      <c r="A836" s="5" t="str">
        <f>HYPERLINK("https://tienda.tarracoimportexport.com/index.php?id_product=10969&amp;controller=product&amp;id_lang=4", "TR011913")</f>
        <v>TR011913</v>
      </c>
      <c r="B836" t="s">
        <v>2861</v>
      </c>
      <c r="D836" s="4">
        <v>648</v>
      </c>
      <c r="E836" t="s">
        <v>2862</v>
      </c>
      <c r="F836" t="s">
        <v>2843</v>
      </c>
      <c r="G836" t="s">
        <v>242</v>
      </c>
      <c r="H836">
        <v>14</v>
      </c>
      <c r="I836">
        <v>504</v>
      </c>
      <c r="J836" t="s">
        <v>1436</v>
      </c>
      <c r="K836" s="17">
        <v>2.59</v>
      </c>
      <c r="L836" s="3">
        <f t="shared" si="15"/>
        <v>0</v>
      </c>
      <c r="N836" t="s">
        <v>2863</v>
      </c>
      <c r="O836" t="s">
        <v>2844</v>
      </c>
      <c r="P836">
        <v>1.02</v>
      </c>
    </row>
    <row r="837" spans="1:16" x14ac:dyDescent="0.35">
      <c r="A837" s="5" t="str">
        <f>HYPERLINK("https://tienda.tarracoimportexport.com/index.php?id_product=10444&amp;controller=product&amp;id_lang=4", "TR011430")</f>
        <v>TR011430</v>
      </c>
      <c r="B837" t="s">
        <v>2864</v>
      </c>
      <c r="D837" s="4">
        <v>56</v>
      </c>
      <c r="E837" t="s">
        <v>2862</v>
      </c>
      <c r="F837" t="s">
        <v>2865</v>
      </c>
      <c r="G837" t="s">
        <v>62</v>
      </c>
      <c r="H837">
        <v>24</v>
      </c>
      <c r="I837">
        <v>576</v>
      </c>
      <c r="J837" t="s">
        <v>94</v>
      </c>
      <c r="K837" s="17">
        <v>2.35</v>
      </c>
      <c r="L837" s="3">
        <f t="shared" si="15"/>
        <v>0</v>
      </c>
      <c r="N837" t="s">
        <v>2866</v>
      </c>
      <c r="O837" t="s">
        <v>2867</v>
      </c>
      <c r="P837">
        <v>1.7350000000000001</v>
      </c>
    </row>
    <row r="838" spans="1:16" x14ac:dyDescent="0.35">
      <c r="A838" s="5" t="str">
        <f>HYPERLINK("https://tienda.tarracoimportexport.com/index.php?id_product=10822&amp;controller=product&amp;id_lang=4", "TR011769")</f>
        <v>TR011769</v>
      </c>
      <c r="B838" t="s">
        <v>2868</v>
      </c>
      <c r="D838" s="4">
        <v>3228</v>
      </c>
      <c r="E838" t="s">
        <v>2869</v>
      </c>
      <c r="F838" t="s">
        <v>2870</v>
      </c>
      <c r="G838" t="s">
        <v>50</v>
      </c>
      <c r="H838">
        <v>8</v>
      </c>
      <c r="I838">
        <v>480</v>
      </c>
      <c r="J838" t="s">
        <v>186</v>
      </c>
      <c r="K838" s="17">
        <v>4.54</v>
      </c>
      <c r="L838" s="3">
        <f t="shared" si="15"/>
        <v>0</v>
      </c>
      <c r="N838" t="s">
        <v>2871</v>
      </c>
      <c r="O838" t="s">
        <v>2872</v>
      </c>
      <c r="P838">
        <v>3.895</v>
      </c>
    </row>
    <row r="839" spans="1:16" x14ac:dyDescent="0.35">
      <c r="A839" s="5" t="str">
        <f>HYPERLINK("https://tienda.tarracoimportexport.com/index.php?id_product=10824&amp;controller=product&amp;id_lang=4", "TR011771")</f>
        <v>TR011771</v>
      </c>
      <c r="B839" t="s">
        <v>2873</v>
      </c>
      <c r="D839" s="4">
        <v>1572</v>
      </c>
      <c r="E839" t="s">
        <v>2874</v>
      </c>
      <c r="F839" t="s">
        <v>2875</v>
      </c>
      <c r="G839" t="s">
        <v>50</v>
      </c>
      <c r="H839">
        <v>14</v>
      </c>
      <c r="I839">
        <v>1176</v>
      </c>
      <c r="J839" t="s">
        <v>459</v>
      </c>
      <c r="K839" s="17">
        <v>2.0499999999999998</v>
      </c>
      <c r="L839" s="3">
        <f t="shared" si="15"/>
        <v>0</v>
      </c>
      <c r="N839" t="s">
        <v>2876</v>
      </c>
      <c r="O839" t="s">
        <v>2877</v>
      </c>
      <c r="P839">
        <v>1.33</v>
      </c>
    </row>
    <row r="840" spans="1:16" x14ac:dyDescent="0.35">
      <c r="A840" s="5" t="str">
        <f>HYPERLINK("https://tienda.tarracoimportexport.com/index.php?id_product=10939&amp;controller=product&amp;id_lang=4", "TR011885")</f>
        <v>TR011885</v>
      </c>
      <c r="B840" t="s">
        <v>2878</v>
      </c>
      <c r="D840" s="4">
        <v>912</v>
      </c>
      <c r="E840" t="s">
        <v>2879</v>
      </c>
      <c r="F840" t="s">
        <v>2843</v>
      </c>
      <c r="G840" t="s">
        <v>39</v>
      </c>
      <c r="H840">
        <v>20</v>
      </c>
      <c r="I840">
        <v>960</v>
      </c>
      <c r="J840" t="s">
        <v>40</v>
      </c>
      <c r="K840" s="17">
        <v>1.96</v>
      </c>
      <c r="L840" s="3">
        <f t="shared" si="15"/>
        <v>0</v>
      </c>
      <c r="N840" t="s">
        <v>2880</v>
      </c>
      <c r="O840" t="s">
        <v>2881</v>
      </c>
      <c r="P840">
        <v>1.0449999999999999</v>
      </c>
    </row>
    <row r="841" spans="1:16" x14ac:dyDescent="0.35">
      <c r="A841" s="5" t="str">
        <f>HYPERLINK("https://tienda.tarracoimportexport.com/index.php?id_product=10678&amp;controller=product&amp;id_lang=4", "TR011653")</f>
        <v>TR011653</v>
      </c>
      <c r="B841" t="s">
        <v>2882</v>
      </c>
      <c r="D841" s="4">
        <v>1020</v>
      </c>
      <c r="E841" t="s">
        <v>2883</v>
      </c>
      <c r="F841" t="s">
        <v>16</v>
      </c>
      <c r="G841" t="s">
        <v>50</v>
      </c>
      <c r="H841">
        <v>12</v>
      </c>
      <c r="I841">
        <v>576</v>
      </c>
      <c r="J841" t="s">
        <v>202</v>
      </c>
      <c r="K841" s="17">
        <v>1.89</v>
      </c>
      <c r="L841" s="3">
        <f t="shared" si="15"/>
        <v>0</v>
      </c>
      <c r="N841" t="s">
        <v>2884</v>
      </c>
      <c r="O841" t="s">
        <v>550</v>
      </c>
      <c r="P841">
        <v>10</v>
      </c>
    </row>
    <row r="842" spans="1:16" x14ac:dyDescent="0.35">
      <c r="A842" s="5" t="str">
        <f>HYPERLINK("https://tienda.tarracoimportexport.com/index.php?id_product=10679&amp;controller=product&amp;id_lang=4", "TR011654")</f>
        <v>TR011654</v>
      </c>
      <c r="B842" t="s">
        <v>2885</v>
      </c>
      <c r="D842" s="4">
        <v>1140</v>
      </c>
      <c r="E842" t="s">
        <v>2886</v>
      </c>
      <c r="F842" t="s">
        <v>16</v>
      </c>
      <c r="G842" t="s">
        <v>50</v>
      </c>
      <c r="H842">
        <v>12</v>
      </c>
      <c r="I842">
        <v>576</v>
      </c>
      <c r="J842" t="s">
        <v>202</v>
      </c>
      <c r="K842" s="17">
        <v>1.89</v>
      </c>
      <c r="L842" s="3">
        <f t="shared" si="15"/>
        <v>0</v>
      </c>
      <c r="N842" t="s">
        <v>2887</v>
      </c>
      <c r="O842" t="s">
        <v>550</v>
      </c>
      <c r="P842">
        <v>10</v>
      </c>
    </row>
    <row r="843" spans="1:16" x14ac:dyDescent="0.35">
      <c r="A843" s="5" t="str">
        <f>HYPERLINK("https://tienda.tarracoimportexport.com/index.php?id_product=10683&amp;controller=product&amp;id_lang=4", "TR011656")</f>
        <v>TR011656</v>
      </c>
      <c r="B843" t="s">
        <v>2888</v>
      </c>
      <c r="D843" s="4">
        <v>1200</v>
      </c>
      <c r="E843" t="s">
        <v>2889</v>
      </c>
      <c r="F843" t="s">
        <v>16</v>
      </c>
      <c r="G843" t="s">
        <v>50</v>
      </c>
      <c r="H843">
        <v>12</v>
      </c>
      <c r="I843">
        <v>576</v>
      </c>
      <c r="J843" t="s">
        <v>202</v>
      </c>
      <c r="K843" s="17">
        <v>1.89</v>
      </c>
      <c r="L843" s="3">
        <f t="shared" si="15"/>
        <v>0</v>
      </c>
      <c r="N843" t="s">
        <v>2890</v>
      </c>
      <c r="O843" t="s">
        <v>550</v>
      </c>
      <c r="P843">
        <v>10</v>
      </c>
    </row>
    <row r="844" spans="1:16" x14ac:dyDescent="0.35">
      <c r="A844" s="5" t="str">
        <f>HYPERLINK("https://tienda.tarracoimportexport.com/index.php?id_product=10684&amp;controller=product&amp;id_lang=4", "TR011657")</f>
        <v>TR011657</v>
      </c>
      <c r="B844" t="s">
        <v>2891</v>
      </c>
      <c r="D844" s="4">
        <v>1224</v>
      </c>
      <c r="E844" t="s">
        <v>2892</v>
      </c>
      <c r="F844" t="s">
        <v>16</v>
      </c>
      <c r="G844" t="s">
        <v>50</v>
      </c>
      <c r="H844">
        <v>12</v>
      </c>
      <c r="I844">
        <v>576</v>
      </c>
      <c r="J844" t="s">
        <v>202</v>
      </c>
      <c r="K844" s="17">
        <v>1.89</v>
      </c>
      <c r="L844" s="3">
        <f t="shared" si="15"/>
        <v>0</v>
      </c>
      <c r="N844" t="s">
        <v>2893</v>
      </c>
      <c r="O844" t="s">
        <v>550</v>
      </c>
      <c r="P844">
        <v>10</v>
      </c>
    </row>
    <row r="845" spans="1:16" x14ac:dyDescent="0.35">
      <c r="A845" s="5" t="str">
        <f>HYPERLINK("https://tienda.tarracoimportexport.com/index.php?id_product=10685&amp;controller=product&amp;id_lang=4", "TR011658")</f>
        <v>TR011658</v>
      </c>
      <c r="B845" t="s">
        <v>2894</v>
      </c>
      <c r="D845" s="4">
        <v>1164</v>
      </c>
      <c r="E845" t="s">
        <v>2895</v>
      </c>
      <c r="F845" t="s">
        <v>16</v>
      </c>
      <c r="G845" t="s">
        <v>50</v>
      </c>
      <c r="H845">
        <v>12</v>
      </c>
      <c r="I845">
        <v>576</v>
      </c>
      <c r="J845" t="s">
        <v>202</v>
      </c>
      <c r="K845" s="17">
        <v>1.89</v>
      </c>
      <c r="L845" s="3">
        <f t="shared" si="15"/>
        <v>0</v>
      </c>
      <c r="N845" t="s">
        <v>2896</v>
      </c>
      <c r="O845" t="s">
        <v>550</v>
      </c>
      <c r="P845">
        <v>10</v>
      </c>
    </row>
    <row r="846" spans="1:16" x14ac:dyDescent="0.35">
      <c r="A846" s="5" t="str">
        <f>HYPERLINK("https://tienda.tarracoimportexport.com/index.php?id_product=10680&amp;controller=product&amp;id_lang=4", "TR011655")</f>
        <v>TR011655</v>
      </c>
      <c r="B846" t="s">
        <v>2897</v>
      </c>
      <c r="D846" s="4">
        <v>1368</v>
      </c>
      <c r="E846" t="s">
        <v>2898</v>
      </c>
      <c r="F846" t="s">
        <v>16</v>
      </c>
      <c r="G846" t="s">
        <v>50</v>
      </c>
      <c r="H846">
        <v>12</v>
      </c>
      <c r="I846">
        <v>576</v>
      </c>
      <c r="J846" t="s">
        <v>202</v>
      </c>
      <c r="K846" s="17">
        <v>1.89</v>
      </c>
      <c r="L846" s="3">
        <f t="shared" si="15"/>
        <v>0</v>
      </c>
      <c r="N846" t="s">
        <v>2899</v>
      </c>
      <c r="O846" t="s">
        <v>550</v>
      </c>
      <c r="P846">
        <v>10</v>
      </c>
    </row>
    <row r="847" spans="1:16" x14ac:dyDescent="0.35">
      <c r="A847" s="5" t="str">
        <f>HYPERLINK("https://tienda.tarracoimportexport.com/index.php?id_product=9614&amp;controller=product&amp;id_lang=4", "TR010667")</f>
        <v>TR010667</v>
      </c>
      <c r="B847" t="s">
        <v>2900</v>
      </c>
      <c r="D847" s="4">
        <v>250</v>
      </c>
      <c r="E847" t="s">
        <v>2901</v>
      </c>
      <c r="F847" t="s">
        <v>2276</v>
      </c>
      <c r="G847" t="s">
        <v>327</v>
      </c>
      <c r="H847">
        <v>13</v>
      </c>
      <c r="I847">
        <v>2600</v>
      </c>
      <c r="J847" t="s">
        <v>2183</v>
      </c>
      <c r="K847" s="17">
        <v>0.55000000000000004</v>
      </c>
      <c r="L847" s="3">
        <f t="shared" si="15"/>
        <v>0</v>
      </c>
      <c r="N847" t="s">
        <v>2902</v>
      </c>
      <c r="O847" t="s">
        <v>2903</v>
      </c>
      <c r="P847">
        <v>2.3149999999999999</v>
      </c>
    </row>
    <row r="848" spans="1:16" x14ac:dyDescent="0.35">
      <c r="A848" s="5" t="str">
        <f>HYPERLINK("https://tienda.tarracoimportexport.com/index.php?id_product=10970&amp;controller=product&amp;id_lang=4", "TR011914")</f>
        <v>TR011914</v>
      </c>
      <c r="B848" t="s">
        <v>2900</v>
      </c>
      <c r="D848" s="4">
        <v>950</v>
      </c>
      <c r="E848" t="s">
        <v>2904</v>
      </c>
      <c r="F848" t="s">
        <v>853</v>
      </c>
      <c r="G848" t="s">
        <v>327</v>
      </c>
      <c r="H848">
        <v>13</v>
      </c>
      <c r="I848">
        <v>2600</v>
      </c>
      <c r="J848" t="s">
        <v>2183</v>
      </c>
      <c r="K848" s="17">
        <v>0.55000000000000004</v>
      </c>
      <c r="L848" s="3">
        <f t="shared" si="15"/>
        <v>0</v>
      </c>
      <c r="N848" t="s">
        <v>2905</v>
      </c>
      <c r="O848" t="s">
        <v>2903</v>
      </c>
      <c r="P848">
        <v>2.3199999999999998</v>
      </c>
    </row>
    <row r="849" spans="1:16" x14ac:dyDescent="0.35">
      <c r="A849" s="5" t="str">
        <f>HYPERLINK("https://tienda.tarracoimportexport.com/index.php?id_product=9671&amp;controller=product&amp;id_lang=4", "TR010722")</f>
        <v>TR010722</v>
      </c>
      <c r="B849" t="s">
        <v>2906</v>
      </c>
      <c r="D849" s="4">
        <v>260</v>
      </c>
      <c r="E849" t="s">
        <v>2901</v>
      </c>
      <c r="F849" t="s">
        <v>2907</v>
      </c>
      <c r="G849" t="s">
        <v>27</v>
      </c>
      <c r="H849">
        <v>650</v>
      </c>
      <c r="I849">
        <v>26000</v>
      </c>
      <c r="J849" t="s">
        <v>2908</v>
      </c>
      <c r="K849" s="17">
        <v>0.55000000000000004</v>
      </c>
      <c r="L849" s="3">
        <f t="shared" si="15"/>
        <v>0</v>
      </c>
      <c r="N849" t="s">
        <v>2909</v>
      </c>
      <c r="O849" t="s">
        <v>2903</v>
      </c>
      <c r="P849">
        <v>0.435</v>
      </c>
    </row>
    <row r="850" spans="1:16" x14ac:dyDescent="0.35">
      <c r="A850" s="5" t="str">
        <f>HYPERLINK("https://tienda.tarracoimportexport.com/index.php?id_product=9655&amp;controller=product&amp;id_lang=4", "TR010707")</f>
        <v>TR010707</v>
      </c>
      <c r="B850" t="s">
        <v>2910</v>
      </c>
      <c r="D850" s="4">
        <v>610</v>
      </c>
      <c r="E850" t="s">
        <v>2911</v>
      </c>
      <c r="F850" t="s">
        <v>2912</v>
      </c>
      <c r="G850" t="s">
        <v>27</v>
      </c>
      <c r="H850">
        <v>520</v>
      </c>
      <c r="I850">
        <v>20800</v>
      </c>
      <c r="J850" t="s">
        <v>2913</v>
      </c>
      <c r="K850" s="17">
        <v>0.32</v>
      </c>
      <c r="L850" s="3">
        <f t="shared" si="15"/>
        <v>0</v>
      </c>
      <c r="N850" t="s">
        <v>2914</v>
      </c>
      <c r="O850" t="s">
        <v>2915</v>
      </c>
      <c r="P850">
        <v>0.61</v>
      </c>
    </row>
    <row r="851" spans="1:16" x14ac:dyDescent="0.35">
      <c r="A851" s="5" t="str">
        <f>HYPERLINK("https://tienda.tarracoimportexport.com/index.php?id_product=9656&amp;controller=product&amp;id_lang=4", "TR010708")</f>
        <v>TR010708</v>
      </c>
      <c r="B851" t="s">
        <v>2916</v>
      </c>
      <c r="D851" s="4">
        <v>710</v>
      </c>
      <c r="E851" t="s">
        <v>2917</v>
      </c>
      <c r="F851" t="s">
        <v>105</v>
      </c>
      <c r="G851" t="s">
        <v>27</v>
      </c>
      <c r="H851">
        <v>520</v>
      </c>
      <c r="I851">
        <v>20800</v>
      </c>
      <c r="J851" t="s">
        <v>2913</v>
      </c>
      <c r="K851" s="17">
        <v>0.32</v>
      </c>
      <c r="L851" s="3">
        <f t="shared" si="15"/>
        <v>0</v>
      </c>
      <c r="N851" t="s">
        <v>2918</v>
      </c>
      <c r="O851" t="s">
        <v>2915</v>
      </c>
      <c r="P851">
        <v>0.62</v>
      </c>
    </row>
    <row r="852" spans="1:16" x14ac:dyDescent="0.35">
      <c r="A852" s="5" t="str">
        <f>HYPERLINK("https://tienda.tarracoimportexport.com/index.php?id_product=9657&amp;controller=product&amp;id_lang=4", "TR010709")</f>
        <v>TR010709</v>
      </c>
      <c r="B852" t="s">
        <v>2919</v>
      </c>
      <c r="D852" s="4">
        <v>30</v>
      </c>
      <c r="E852" t="s">
        <v>2920</v>
      </c>
      <c r="F852" t="s">
        <v>2865</v>
      </c>
      <c r="G852" t="s">
        <v>27</v>
      </c>
      <c r="H852">
        <v>520</v>
      </c>
      <c r="I852">
        <v>20800</v>
      </c>
      <c r="J852" t="s">
        <v>2913</v>
      </c>
      <c r="K852" s="17">
        <v>0.32</v>
      </c>
      <c r="L852" s="3">
        <f t="shared" si="15"/>
        <v>0</v>
      </c>
      <c r="N852" t="s">
        <v>2921</v>
      </c>
      <c r="O852" t="s">
        <v>2915</v>
      </c>
      <c r="P852">
        <v>0.60499999999999998</v>
      </c>
    </row>
    <row r="853" spans="1:16" x14ac:dyDescent="0.35">
      <c r="A853" s="5" t="str">
        <f>HYPERLINK("https://tienda.tarracoimportexport.com/index.php?id_product=8816&amp;controller=product&amp;id_lang=4", "TR009920")</f>
        <v>TR009920</v>
      </c>
      <c r="B853" t="s">
        <v>2922</v>
      </c>
      <c r="D853" s="4">
        <v>256</v>
      </c>
      <c r="E853" t="s">
        <v>2923</v>
      </c>
      <c r="F853" t="s">
        <v>2924</v>
      </c>
      <c r="G853" t="s">
        <v>290</v>
      </c>
      <c r="H853">
        <v>36</v>
      </c>
      <c r="I853">
        <v>2880</v>
      </c>
      <c r="J853" t="s">
        <v>1569</v>
      </c>
      <c r="K853" s="17">
        <v>1.99</v>
      </c>
      <c r="L853" s="3">
        <f t="shared" si="15"/>
        <v>0</v>
      </c>
      <c r="N853" t="s">
        <v>2925</v>
      </c>
      <c r="O853" t="s">
        <v>2926</v>
      </c>
      <c r="P853">
        <v>4.4050000000000002</v>
      </c>
    </row>
    <row r="854" spans="1:16" x14ac:dyDescent="0.35">
      <c r="A854" s="5" t="str">
        <f>HYPERLINK("https://tienda.tarracoimportexport.com/index.php?id_product=8789&amp;controller=product&amp;id_lang=4", "TR009900")</f>
        <v>TR009900</v>
      </c>
      <c r="B854" t="s">
        <v>2927</v>
      </c>
      <c r="D854" s="4">
        <v>2368</v>
      </c>
      <c r="E854" t="s">
        <v>2923</v>
      </c>
      <c r="F854" t="s">
        <v>2924</v>
      </c>
      <c r="G854" t="s">
        <v>388</v>
      </c>
      <c r="H854">
        <v>9</v>
      </c>
      <c r="I854">
        <v>2880</v>
      </c>
      <c r="J854" t="s">
        <v>301</v>
      </c>
      <c r="K854" s="17">
        <v>1.99</v>
      </c>
      <c r="L854" s="3">
        <f t="shared" si="15"/>
        <v>0</v>
      </c>
      <c r="N854" t="s">
        <v>2928</v>
      </c>
      <c r="O854" t="s">
        <v>2929</v>
      </c>
      <c r="P854">
        <v>18.07</v>
      </c>
    </row>
    <row r="855" spans="1:16" x14ac:dyDescent="0.35">
      <c r="A855" s="5" t="str">
        <f>HYPERLINK("https://tienda.tarracoimportexport.com/index.php?id_product=10971&amp;controller=product&amp;id_lang=4", "TR011915")</f>
        <v>TR011915</v>
      </c>
      <c r="B855" t="s">
        <v>2930</v>
      </c>
      <c r="D855" s="4">
        <v>1550</v>
      </c>
      <c r="E855" t="s">
        <v>2931</v>
      </c>
      <c r="F855" t="s">
        <v>853</v>
      </c>
      <c r="G855" t="s">
        <v>327</v>
      </c>
      <c r="H855">
        <v>11</v>
      </c>
      <c r="I855">
        <v>2200</v>
      </c>
      <c r="J855" t="s">
        <v>243</v>
      </c>
      <c r="K855" s="17">
        <v>0.6</v>
      </c>
      <c r="L855" s="3">
        <f t="shared" si="15"/>
        <v>0</v>
      </c>
      <c r="N855" t="s">
        <v>2932</v>
      </c>
      <c r="O855" t="s">
        <v>2903</v>
      </c>
      <c r="P855">
        <v>5.42</v>
      </c>
    </row>
    <row r="856" spans="1:16" x14ac:dyDescent="0.35">
      <c r="A856" s="5" t="str">
        <f>HYPERLINK("https://tienda.tarracoimportexport.com/index.php?id_product=9672&amp;controller=product&amp;id_lang=4", "TR010723")</f>
        <v>TR010723</v>
      </c>
      <c r="B856" t="s">
        <v>2933</v>
      </c>
      <c r="D856" s="4">
        <v>410</v>
      </c>
      <c r="E856" t="s">
        <v>2934</v>
      </c>
      <c r="F856" t="s">
        <v>105</v>
      </c>
      <c r="G856" t="s">
        <v>27</v>
      </c>
      <c r="H856">
        <v>550</v>
      </c>
      <c r="I856">
        <v>22000</v>
      </c>
      <c r="J856" t="s">
        <v>2935</v>
      </c>
      <c r="K856" s="17">
        <v>0.6</v>
      </c>
      <c r="L856" s="3">
        <f t="shared" si="15"/>
        <v>0</v>
      </c>
      <c r="N856" t="s">
        <v>2936</v>
      </c>
      <c r="O856" t="s">
        <v>2903</v>
      </c>
      <c r="P856">
        <v>1.0549999999999999</v>
      </c>
    </row>
    <row r="857" spans="1:16" x14ac:dyDescent="0.35">
      <c r="A857" s="5" t="str">
        <f>HYPERLINK("https://tienda.tarracoimportexport.com/index.php?id_product=9814&amp;controller=product&amp;id_lang=4", "TR010860")</f>
        <v>TR010860</v>
      </c>
      <c r="B857" t="s">
        <v>2937</v>
      </c>
      <c r="D857" s="4">
        <v>2350</v>
      </c>
      <c r="E857" t="s">
        <v>2938</v>
      </c>
      <c r="F857" t="s">
        <v>972</v>
      </c>
      <c r="G857" t="s">
        <v>327</v>
      </c>
      <c r="H857">
        <v>9</v>
      </c>
      <c r="I857">
        <v>1800</v>
      </c>
      <c r="J857" t="s">
        <v>22</v>
      </c>
      <c r="K857" s="17">
        <v>0.85</v>
      </c>
      <c r="L857" s="3">
        <f t="shared" si="15"/>
        <v>0</v>
      </c>
      <c r="N857" t="s">
        <v>2939</v>
      </c>
      <c r="O857" t="s">
        <v>2903</v>
      </c>
      <c r="P857">
        <v>10.65</v>
      </c>
    </row>
    <row r="858" spans="1:16" x14ac:dyDescent="0.35">
      <c r="A858" s="5" t="str">
        <f>HYPERLINK("https://tienda.tarracoimportexport.com/index.php?id_product=9823&amp;controller=product&amp;id_lang=4", "TR010869")</f>
        <v>TR010869</v>
      </c>
      <c r="B858" t="s">
        <v>2940</v>
      </c>
      <c r="D858" s="4">
        <v>40</v>
      </c>
      <c r="E858" t="s">
        <v>2938</v>
      </c>
      <c r="F858" t="s">
        <v>125</v>
      </c>
      <c r="G858" t="s">
        <v>27</v>
      </c>
      <c r="H858">
        <v>450</v>
      </c>
      <c r="I858">
        <v>18000</v>
      </c>
      <c r="J858" t="s">
        <v>2941</v>
      </c>
      <c r="K858" s="17">
        <v>0.76</v>
      </c>
      <c r="L858" s="3">
        <f t="shared" si="15"/>
        <v>0</v>
      </c>
      <c r="N858" t="s">
        <v>2942</v>
      </c>
      <c r="O858" t="s">
        <v>2903</v>
      </c>
      <c r="P858">
        <v>2.04</v>
      </c>
    </row>
    <row r="859" spans="1:16" x14ac:dyDescent="0.35">
      <c r="A859" s="5" t="str">
        <f>HYPERLINK("https://tienda.tarracoimportexport.com/index.php?id_product=8757&amp;controller=product&amp;id_lang=4", "TR009868")</f>
        <v>TR009868</v>
      </c>
      <c r="B859" t="s">
        <v>2943</v>
      </c>
      <c r="D859" s="4">
        <v>17856</v>
      </c>
      <c r="E859" t="s">
        <v>2944</v>
      </c>
      <c r="F859" t="s">
        <v>1666</v>
      </c>
      <c r="G859" t="s">
        <v>202</v>
      </c>
      <c r="H859">
        <v>16</v>
      </c>
      <c r="I859">
        <v>6144</v>
      </c>
      <c r="J859" t="s">
        <v>628</v>
      </c>
      <c r="K859" s="17">
        <v>0.67</v>
      </c>
      <c r="L859" s="3">
        <f t="shared" si="15"/>
        <v>0</v>
      </c>
      <c r="N859" t="s">
        <v>2945</v>
      </c>
      <c r="O859" t="s">
        <v>2946</v>
      </c>
      <c r="P859">
        <v>5.0549999999999997</v>
      </c>
    </row>
    <row r="860" spans="1:16" x14ac:dyDescent="0.35">
      <c r="A860" s="5" t="str">
        <f>HYPERLINK("https://tienda.tarracoimportexport.com/index.php?id_product=8764&amp;controller=product&amp;id_lang=4", "TR009875")</f>
        <v>TR009875</v>
      </c>
      <c r="B860" t="s">
        <v>2947</v>
      </c>
      <c r="D860" s="4">
        <v>444</v>
      </c>
      <c r="E860" t="s">
        <v>2944</v>
      </c>
      <c r="F860" t="s">
        <v>606</v>
      </c>
      <c r="G860" t="s">
        <v>50</v>
      </c>
      <c r="H860">
        <v>64</v>
      </c>
      <c r="I860">
        <v>6144</v>
      </c>
      <c r="J860" t="s">
        <v>2713</v>
      </c>
      <c r="K860" s="17">
        <v>0.67</v>
      </c>
      <c r="L860" s="3">
        <f t="shared" si="15"/>
        <v>0</v>
      </c>
      <c r="N860" t="s">
        <v>2948</v>
      </c>
      <c r="O860" t="s">
        <v>2949</v>
      </c>
      <c r="P860">
        <v>1.18</v>
      </c>
    </row>
    <row r="861" spans="1:16" x14ac:dyDescent="0.35">
      <c r="A861" s="5" t="str">
        <f>HYPERLINK("https://tienda.tarracoimportexport.com/index.php?id_product=8758&amp;controller=product&amp;id_lang=4", "TR009869")</f>
        <v>TR009869</v>
      </c>
      <c r="B861" t="s">
        <v>2950</v>
      </c>
      <c r="D861" s="4">
        <v>17328</v>
      </c>
      <c r="E861" t="s">
        <v>2951</v>
      </c>
      <c r="F861" t="s">
        <v>1104</v>
      </c>
      <c r="G861" t="s">
        <v>202</v>
      </c>
      <c r="H861">
        <v>21</v>
      </c>
      <c r="I861">
        <v>8064</v>
      </c>
      <c r="J861" t="s">
        <v>363</v>
      </c>
      <c r="K861" s="17">
        <v>0.67</v>
      </c>
      <c r="L861" s="3">
        <f t="shared" si="15"/>
        <v>0</v>
      </c>
      <c r="N861" t="s">
        <v>2952</v>
      </c>
      <c r="O861" t="s">
        <v>2946</v>
      </c>
      <c r="P861">
        <v>2.72</v>
      </c>
    </row>
    <row r="862" spans="1:16" x14ac:dyDescent="0.35">
      <c r="A862" s="5" t="str">
        <f>HYPERLINK("https://tienda.tarracoimportexport.com/index.php?id_product=8765&amp;controller=product&amp;id_lang=4", "TR009876")</f>
        <v>TR009876</v>
      </c>
      <c r="B862" t="s">
        <v>2953</v>
      </c>
      <c r="D862" s="4">
        <v>432</v>
      </c>
      <c r="E862" t="s">
        <v>2951</v>
      </c>
      <c r="F862" t="s">
        <v>606</v>
      </c>
      <c r="G862" t="s">
        <v>50</v>
      </c>
      <c r="H862">
        <v>84</v>
      </c>
      <c r="I862">
        <v>8064</v>
      </c>
      <c r="J862" t="s">
        <v>1749</v>
      </c>
      <c r="K862" s="17">
        <v>0.67</v>
      </c>
      <c r="L862" s="3">
        <f t="shared" si="15"/>
        <v>0</v>
      </c>
      <c r="N862" t="s">
        <v>2954</v>
      </c>
      <c r="O862" t="s">
        <v>2946</v>
      </c>
      <c r="P862">
        <v>0.64</v>
      </c>
    </row>
    <row r="863" spans="1:16" x14ac:dyDescent="0.35">
      <c r="A863" s="5" t="str">
        <f>HYPERLINK("https://tienda.tarracoimportexport.com/index.php?id_product=9756&amp;controller=product&amp;id_lang=4", "TR010804")</f>
        <v>TR010804</v>
      </c>
      <c r="B863" t="s">
        <v>2955</v>
      </c>
      <c r="D863" s="4">
        <v>228</v>
      </c>
      <c r="E863" t="s">
        <v>2956</v>
      </c>
      <c r="F863" t="s">
        <v>16</v>
      </c>
      <c r="G863" t="s">
        <v>39</v>
      </c>
      <c r="H863">
        <v>20</v>
      </c>
      <c r="I863">
        <v>720</v>
      </c>
      <c r="J863" t="s">
        <v>63</v>
      </c>
      <c r="K863" s="17">
        <v>2.78</v>
      </c>
      <c r="L863" s="3">
        <f t="shared" si="15"/>
        <v>0</v>
      </c>
      <c r="N863" t="s">
        <v>2957</v>
      </c>
      <c r="O863" t="s">
        <v>30</v>
      </c>
      <c r="P863">
        <v>4.37</v>
      </c>
    </row>
    <row r="864" spans="1:16" x14ac:dyDescent="0.35">
      <c r="A864" s="5" t="str">
        <f>HYPERLINK("https://tienda.tarracoimportexport.com/index.php?id_product=9754&amp;controller=product&amp;id_lang=4", "TR010802")</f>
        <v>TR010802</v>
      </c>
      <c r="B864" t="s">
        <v>2958</v>
      </c>
      <c r="D864" s="4">
        <v>864</v>
      </c>
      <c r="E864" t="s">
        <v>2959</v>
      </c>
      <c r="F864" t="s">
        <v>16</v>
      </c>
      <c r="G864" t="s">
        <v>39</v>
      </c>
      <c r="H864">
        <v>11</v>
      </c>
      <c r="I864">
        <v>924</v>
      </c>
      <c r="J864" t="s">
        <v>2168</v>
      </c>
      <c r="K864" s="17">
        <v>2.65</v>
      </c>
      <c r="L864" s="3">
        <f t="shared" si="15"/>
        <v>0</v>
      </c>
      <c r="N864" t="s">
        <v>2960</v>
      </c>
      <c r="O864" t="s">
        <v>30</v>
      </c>
      <c r="P864">
        <v>2.68</v>
      </c>
    </row>
    <row r="865" spans="1:16" x14ac:dyDescent="0.35">
      <c r="A865" s="5" t="str">
        <f>HYPERLINK("https://tienda.tarracoimportexport.com/index.php?id_product=9755&amp;controller=product&amp;id_lang=4", "TR010803")</f>
        <v>TR010803</v>
      </c>
      <c r="B865" t="s">
        <v>2961</v>
      </c>
      <c r="D865" s="4">
        <v>36</v>
      </c>
      <c r="E865" t="s">
        <v>2962</v>
      </c>
      <c r="F865" t="s">
        <v>16</v>
      </c>
      <c r="G865" t="s">
        <v>39</v>
      </c>
      <c r="H865">
        <v>11</v>
      </c>
      <c r="I865">
        <v>924</v>
      </c>
      <c r="J865" t="s">
        <v>2168</v>
      </c>
      <c r="K865" s="17">
        <v>2.65</v>
      </c>
      <c r="L865" s="3">
        <f t="shared" si="15"/>
        <v>0</v>
      </c>
      <c r="N865" t="s">
        <v>2963</v>
      </c>
      <c r="O865" t="s">
        <v>30</v>
      </c>
      <c r="P865">
        <v>2.875</v>
      </c>
    </row>
    <row r="866" spans="1:16" x14ac:dyDescent="0.35">
      <c r="A866" s="5" t="str">
        <f>HYPERLINK("https://tienda.tarracoimportexport.com/index.php?id_product=9385&amp;controller=product&amp;id_lang=4", "TR010459")</f>
        <v>TR010459</v>
      </c>
      <c r="B866" t="s">
        <v>2964</v>
      </c>
      <c r="D866" s="4">
        <v>522</v>
      </c>
      <c r="E866" t="s">
        <v>2965</v>
      </c>
      <c r="F866" t="s">
        <v>16</v>
      </c>
      <c r="G866" t="s">
        <v>39</v>
      </c>
      <c r="H866">
        <v>20</v>
      </c>
      <c r="I866">
        <v>720</v>
      </c>
      <c r="J866" t="s">
        <v>63</v>
      </c>
      <c r="K866" s="17">
        <v>2.68</v>
      </c>
      <c r="L866" s="3">
        <f t="shared" si="15"/>
        <v>0</v>
      </c>
      <c r="N866" t="s">
        <v>2966</v>
      </c>
      <c r="O866" t="s">
        <v>30</v>
      </c>
      <c r="P866">
        <v>4.6500000000000004</v>
      </c>
    </row>
    <row r="867" spans="1:16" x14ac:dyDescent="0.35">
      <c r="A867" s="5" t="str">
        <f>HYPERLINK("https://tienda.tarracoimportexport.com/index.php?id_product=9759&amp;controller=product&amp;id_lang=4", "TR010807")</f>
        <v>TR010807</v>
      </c>
      <c r="B867" t="s">
        <v>2967</v>
      </c>
      <c r="D867" s="4">
        <v>114</v>
      </c>
      <c r="E867" t="s">
        <v>2968</v>
      </c>
      <c r="F867" t="s">
        <v>16</v>
      </c>
      <c r="G867" t="s">
        <v>39</v>
      </c>
      <c r="H867">
        <v>20</v>
      </c>
      <c r="I867">
        <v>720</v>
      </c>
      <c r="J867" t="s">
        <v>63</v>
      </c>
      <c r="K867" s="17">
        <v>2.68</v>
      </c>
      <c r="L867" s="3">
        <f t="shared" si="15"/>
        <v>0</v>
      </c>
      <c r="N867" t="s">
        <v>2969</v>
      </c>
      <c r="O867" t="s">
        <v>30</v>
      </c>
      <c r="P867">
        <v>4.66</v>
      </c>
    </row>
    <row r="868" spans="1:16" x14ac:dyDescent="0.35">
      <c r="A868" s="5" t="str">
        <f>HYPERLINK("https://tienda.tarracoimportexport.com/index.php?id_product=9757&amp;controller=product&amp;id_lang=4", "TR010805")</f>
        <v>TR010805</v>
      </c>
      <c r="B868" t="s">
        <v>2970</v>
      </c>
      <c r="D868" s="4">
        <v>12</v>
      </c>
      <c r="E868" t="s">
        <v>2971</v>
      </c>
      <c r="F868" t="s">
        <v>16</v>
      </c>
      <c r="G868" t="s">
        <v>39</v>
      </c>
      <c r="H868">
        <v>20</v>
      </c>
      <c r="I868">
        <v>720</v>
      </c>
      <c r="J868" t="s">
        <v>63</v>
      </c>
      <c r="K868" s="17">
        <v>2.68</v>
      </c>
      <c r="L868" s="3">
        <f t="shared" si="15"/>
        <v>0</v>
      </c>
      <c r="N868" t="s">
        <v>2972</v>
      </c>
      <c r="O868" t="s">
        <v>30</v>
      </c>
      <c r="P868">
        <v>4.6500000000000004</v>
      </c>
    </row>
    <row r="869" spans="1:16" x14ac:dyDescent="0.35">
      <c r="A869" s="5" t="str">
        <f>HYPERLINK("https://tienda.tarracoimportexport.com/index.php?id_product=10257&amp;controller=product&amp;id_lang=4", "TR011273")</f>
        <v>TR011273</v>
      </c>
      <c r="B869" t="s">
        <v>2973</v>
      </c>
      <c r="D869" s="4">
        <v>24</v>
      </c>
      <c r="E869" t="s">
        <v>2974</v>
      </c>
      <c r="F869" t="s">
        <v>16</v>
      </c>
      <c r="G869" t="s">
        <v>39</v>
      </c>
      <c r="H869">
        <v>20</v>
      </c>
      <c r="I869">
        <v>720</v>
      </c>
      <c r="J869" t="s">
        <v>63</v>
      </c>
      <c r="K869" s="17">
        <v>2.68</v>
      </c>
      <c r="L869" s="3">
        <f t="shared" si="15"/>
        <v>0</v>
      </c>
      <c r="N869" t="s">
        <v>2975</v>
      </c>
      <c r="O869" t="s">
        <v>30</v>
      </c>
      <c r="P869">
        <v>4.6950000000000003</v>
      </c>
    </row>
    <row r="870" spans="1:16" x14ac:dyDescent="0.35">
      <c r="A870" s="5" t="str">
        <f>HYPERLINK("https://tienda.tarracoimportexport.com/index.php?id_product=9384&amp;controller=product&amp;id_lang=4", "TR010458")</f>
        <v>TR010458</v>
      </c>
      <c r="B870" t="s">
        <v>2976</v>
      </c>
      <c r="D870" s="4">
        <v>360</v>
      </c>
      <c r="E870" t="s">
        <v>2977</v>
      </c>
      <c r="F870" t="s">
        <v>16</v>
      </c>
      <c r="G870" t="s">
        <v>39</v>
      </c>
      <c r="H870">
        <v>20</v>
      </c>
      <c r="I870">
        <v>720</v>
      </c>
      <c r="J870" t="s">
        <v>63</v>
      </c>
      <c r="K870" s="17">
        <v>2.68</v>
      </c>
      <c r="L870" s="3">
        <f t="shared" si="15"/>
        <v>0</v>
      </c>
      <c r="N870" t="s">
        <v>2978</v>
      </c>
      <c r="O870" t="s">
        <v>30</v>
      </c>
      <c r="P870">
        <v>4.6900000000000004</v>
      </c>
    </row>
    <row r="871" spans="1:16" x14ac:dyDescent="0.35">
      <c r="A871" s="5" t="str">
        <f>HYPERLINK("https://tienda.tarracoimportexport.com/index.php?id_product=9383&amp;controller=product&amp;id_lang=4", "TR010457")</f>
        <v>TR010457</v>
      </c>
      <c r="B871" t="s">
        <v>2979</v>
      </c>
      <c r="D871" s="4">
        <v>1182</v>
      </c>
      <c r="E871" t="s">
        <v>2980</v>
      </c>
      <c r="F871" t="s">
        <v>16</v>
      </c>
      <c r="G871" t="s">
        <v>39</v>
      </c>
      <c r="H871">
        <v>20</v>
      </c>
      <c r="I871">
        <v>720</v>
      </c>
      <c r="J871" t="s">
        <v>63</v>
      </c>
      <c r="K871" s="17">
        <v>2.68</v>
      </c>
      <c r="L871" s="3">
        <f t="shared" si="15"/>
        <v>0</v>
      </c>
      <c r="N871" t="s">
        <v>2981</v>
      </c>
      <c r="O871" t="s">
        <v>30</v>
      </c>
      <c r="P871">
        <v>4.6849999999999996</v>
      </c>
    </row>
    <row r="872" spans="1:16" x14ac:dyDescent="0.35">
      <c r="A872" s="5" t="str">
        <f>HYPERLINK("https://tienda.tarracoimportexport.com/index.php?id_product=8033&amp;controller=product&amp;id_lang=4", "TR009193")</f>
        <v>TR009193</v>
      </c>
      <c r="B872" t="s">
        <v>2982</v>
      </c>
      <c r="D872" s="4">
        <v>2580</v>
      </c>
      <c r="E872" t="s">
        <v>2983</v>
      </c>
      <c r="F872" t="s">
        <v>16</v>
      </c>
      <c r="G872" t="s">
        <v>39</v>
      </c>
      <c r="H872">
        <v>20</v>
      </c>
      <c r="I872">
        <v>600</v>
      </c>
      <c r="J872" t="s">
        <v>996</v>
      </c>
      <c r="K872" s="17">
        <v>2.99</v>
      </c>
      <c r="L872" s="3">
        <f t="shared" si="15"/>
        <v>0</v>
      </c>
      <c r="N872" t="s">
        <v>2984</v>
      </c>
      <c r="O872" t="s">
        <v>71</v>
      </c>
      <c r="P872">
        <v>4.99</v>
      </c>
    </row>
    <row r="873" spans="1:16" x14ac:dyDescent="0.35">
      <c r="A873" s="5" t="str">
        <f>HYPERLINK("https://tienda.tarracoimportexport.com/index.php?id_product=9627&amp;controller=product&amp;id_lang=4", "TR010680")</f>
        <v>TR010680</v>
      </c>
      <c r="B873" t="s">
        <v>2985</v>
      </c>
      <c r="D873" s="4">
        <v>7854</v>
      </c>
      <c r="E873" t="s">
        <v>2986</v>
      </c>
      <c r="F873" t="s">
        <v>16</v>
      </c>
      <c r="G873" t="s">
        <v>39</v>
      </c>
      <c r="H873">
        <v>8</v>
      </c>
      <c r="I873">
        <v>240</v>
      </c>
      <c r="J873" t="s">
        <v>186</v>
      </c>
      <c r="K873" s="17">
        <v>2.69</v>
      </c>
      <c r="L873" s="3">
        <f t="shared" si="15"/>
        <v>0</v>
      </c>
      <c r="N873" t="s">
        <v>2987</v>
      </c>
      <c r="O873" t="s">
        <v>42</v>
      </c>
      <c r="P873">
        <v>12.215</v>
      </c>
    </row>
    <row r="874" spans="1:16" x14ac:dyDescent="0.35">
      <c r="A874" s="5" t="str">
        <f>HYPERLINK("https://tienda.tarracoimportexport.com/index.php?id_product=9836&amp;controller=product&amp;id_lang=4", "TR010882")</f>
        <v>TR010882</v>
      </c>
      <c r="B874" t="s">
        <v>2988</v>
      </c>
      <c r="D874" s="4">
        <v>960</v>
      </c>
      <c r="E874" t="s">
        <v>2989</v>
      </c>
      <c r="F874" t="s">
        <v>16</v>
      </c>
      <c r="G874" t="s">
        <v>39</v>
      </c>
      <c r="H874">
        <v>8</v>
      </c>
      <c r="I874">
        <v>240</v>
      </c>
      <c r="J874" t="s">
        <v>186</v>
      </c>
      <c r="K874" s="17">
        <v>2.69</v>
      </c>
      <c r="L874" s="3">
        <f t="shared" si="15"/>
        <v>0</v>
      </c>
      <c r="N874" t="s">
        <v>2990</v>
      </c>
      <c r="O874" t="s">
        <v>42</v>
      </c>
      <c r="P874">
        <v>12.185</v>
      </c>
    </row>
    <row r="875" spans="1:16" x14ac:dyDescent="0.35">
      <c r="A875" s="5" t="str">
        <f>HYPERLINK("https://tienda.tarracoimportexport.com/index.php?id_product=9562&amp;controller=product&amp;id_lang=4", "TR010619")</f>
        <v>TR010619</v>
      </c>
      <c r="B875" t="s">
        <v>2991</v>
      </c>
      <c r="D875" s="4">
        <v>2255</v>
      </c>
      <c r="E875" t="s">
        <v>2992</v>
      </c>
      <c r="F875" t="s">
        <v>16</v>
      </c>
      <c r="G875" t="s">
        <v>46</v>
      </c>
      <c r="H875">
        <v>16</v>
      </c>
      <c r="I875">
        <v>480</v>
      </c>
      <c r="J875" t="s">
        <v>374</v>
      </c>
      <c r="K875" s="17">
        <v>2.38</v>
      </c>
      <c r="L875" s="3">
        <f t="shared" si="15"/>
        <v>0</v>
      </c>
      <c r="N875" t="s">
        <v>2993</v>
      </c>
      <c r="O875" t="s">
        <v>42</v>
      </c>
      <c r="P875">
        <v>8.4499999999999993</v>
      </c>
    </row>
    <row r="876" spans="1:16" x14ac:dyDescent="0.35">
      <c r="A876" s="5" t="str">
        <f>HYPERLINK("https://tienda.tarracoimportexport.com/index.php?id_product=8642&amp;controller=product&amp;id_lang=4", "TR009777")</f>
        <v>TR009777</v>
      </c>
      <c r="B876" t="s">
        <v>2994</v>
      </c>
      <c r="D876" s="4">
        <v>12348</v>
      </c>
      <c r="E876" t="s">
        <v>2995</v>
      </c>
      <c r="F876" t="s">
        <v>16</v>
      </c>
      <c r="G876" t="s">
        <v>39</v>
      </c>
      <c r="H876">
        <v>21</v>
      </c>
      <c r="I876">
        <v>378</v>
      </c>
      <c r="J876" t="s">
        <v>2073</v>
      </c>
      <c r="K876" s="17">
        <v>2.12</v>
      </c>
      <c r="L876" s="3">
        <f t="shared" si="15"/>
        <v>0</v>
      </c>
      <c r="N876" t="s">
        <v>2996</v>
      </c>
      <c r="O876" t="s">
        <v>42</v>
      </c>
      <c r="P876">
        <v>5.19</v>
      </c>
    </row>
    <row r="877" spans="1:16" x14ac:dyDescent="0.35">
      <c r="A877" s="5" t="str">
        <f>HYPERLINK("https://tienda.tarracoimportexport.com/index.php?id_product=8643&amp;controller=product&amp;id_lang=4", "TR009778")</f>
        <v>TR009778</v>
      </c>
      <c r="B877" t="s">
        <v>2997</v>
      </c>
      <c r="D877" s="4">
        <v>9708</v>
      </c>
      <c r="E877" t="s">
        <v>2998</v>
      </c>
      <c r="F877" t="s">
        <v>16</v>
      </c>
      <c r="G877" t="s">
        <v>39</v>
      </c>
      <c r="H877">
        <v>21</v>
      </c>
      <c r="I877">
        <v>378</v>
      </c>
      <c r="J877" t="s">
        <v>2073</v>
      </c>
      <c r="K877" s="17">
        <v>2.12</v>
      </c>
      <c r="L877" s="3">
        <f t="shared" si="15"/>
        <v>0</v>
      </c>
      <c r="N877" t="s">
        <v>2999</v>
      </c>
      <c r="O877" t="s">
        <v>42</v>
      </c>
      <c r="P877">
        <v>5.2</v>
      </c>
    </row>
    <row r="878" spans="1:16" x14ac:dyDescent="0.35">
      <c r="A878" s="5" t="str">
        <f>HYPERLINK("https://tienda.tarracoimportexport.com/index.php?id_product=10640&amp;controller=product&amp;id_lang=4", "TR011615")</f>
        <v>TR011615</v>
      </c>
      <c r="B878" t="s">
        <v>3000</v>
      </c>
      <c r="D878" s="4">
        <v>3400</v>
      </c>
      <c r="E878" t="s">
        <v>3001</v>
      </c>
      <c r="F878" t="s">
        <v>16</v>
      </c>
      <c r="G878" t="s">
        <v>62</v>
      </c>
      <c r="H878">
        <v>44</v>
      </c>
      <c r="I878">
        <v>1760</v>
      </c>
      <c r="J878" t="s">
        <v>2853</v>
      </c>
      <c r="K878" s="17">
        <v>1.88</v>
      </c>
      <c r="L878" s="3">
        <f t="shared" si="15"/>
        <v>0</v>
      </c>
      <c r="N878" t="s">
        <v>3002</v>
      </c>
      <c r="O878" t="s">
        <v>42</v>
      </c>
      <c r="P878">
        <v>2.0350000000000001</v>
      </c>
    </row>
    <row r="879" spans="1:16" x14ac:dyDescent="0.35">
      <c r="A879" s="5" t="str">
        <f>HYPERLINK("https://tienda.tarracoimportexport.com/index.php?id_product=10282&amp;controller=product&amp;id_lang=4", "TR011298")</f>
        <v>TR011298</v>
      </c>
      <c r="B879" t="s">
        <v>3003</v>
      </c>
      <c r="D879" s="4">
        <v>56</v>
      </c>
      <c r="E879" t="s">
        <v>3004</v>
      </c>
      <c r="F879" t="s">
        <v>16</v>
      </c>
      <c r="G879" t="s">
        <v>62</v>
      </c>
      <c r="H879">
        <v>12</v>
      </c>
      <c r="I879">
        <v>480</v>
      </c>
      <c r="J879" t="s">
        <v>516</v>
      </c>
      <c r="K879" s="17">
        <v>1.56</v>
      </c>
      <c r="L879" s="3">
        <f t="shared" si="15"/>
        <v>0</v>
      </c>
      <c r="N879" t="s">
        <v>3005</v>
      </c>
      <c r="O879" t="s">
        <v>42</v>
      </c>
      <c r="P879">
        <v>9.4600000000000009</v>
      </c>
    </row>
    <row r="880" spans="1:16" x14ac:dyDescent="0.35">
      <c r="A880" s="5" t="str">
        <f>HYPERLINK("https://tienda.tarracoimportexport.com/index.php?id_product=10281&amp;controller=product&amp;id_lang=4", "TR011297")</f>
        <v>TR011297</v>
      </c>
      <c r="B880" t="s">
        <v>3006</v>
      </c>
      <c r="D880" s="4">
        <v>1448</v>
      </c>
      <c r="E880" t="s">
        <v>3007</v>
      </c>
      <c r="F880" t="s">
        <v>16</v>
      </c>
      <c r="G880" t="s">
        <v>62</v>
      </c>
      <c r="H880">
        <v>12</v>
      </c>
      <c r="I880">
        <v>480</v>
      </c>
      <c r="J880" t="s">
        <v>516</v>
      </c>
      <c r="K880" s="17">
        <v>1.56</v>
      </c>
      <c r="L880" s="3">
        <f t="shared" si="15"/>
        <v>0</v>
      </c>
      <c r="N880" t="s">
        <v>3008</v>
      </c>
      <c r="O880" t="s">
        <v>42</v>
      </c>
      <c r="P880">
        <v>9.4600000000000009</v>
      </c>
    </row>
    <row r="881" spans="1:16" x14ac:dyDescent="0.35">
      <c r="A881" s="5" t="str">
        <f>HYPERLINK("https://tienda.tarracoimportexport.com/index.php?id_product=10284&amp;controller=product&amp;id_lang=4", "TR011300")</f>
        <v>TR011300</v>
      </c>
      <c r="B881" t="s">
        <v>3009</v>
      </c>
      <c r="D881" s="4">
        <v>288</v>
      </c>
      <c r="E881" t="s">
        <v>3010</v>
      </c>
      <c r="F881" t="s">
        <v>16</v>
      </c>
      <c r="G881" t="s">
        <v>62</v>
      </c>
      <c r="H881">
        <v>12</v>
      </c>
      <c r="I881">
        <v>480</v>
      </c>
      <c r="J881" t="s">
        <v>516</v>
      </c>
      <c r="K881" s="17">
        <v>1.56</v>
      </c>
      <c r="L881" s="3">
        <f t="shared" si="15"/>
        <v>0</v>
      </c>
      <c r="N881" t="s">
        <v>3011</v>
      </c>
      <c r="O881" t="s">
        <v>42</v>
      </c>
      <c r="P881">
        <v>9.4600000000000009</v>
      </c>
    </row>
    <row r="882" spans="1:16" x14ac:dyDescent="0.35">
      <c r="A882" s="5" t="str">
        <f>HYPERLINK("https://tienda.tarracoimportexport.com/index.php?id_product=10280&amp;controller=product&amp;id_lang=4", "TR011296")</f>
        <v>TR011296</v>
      </c>
      <c r="B882" t="s">
        <v>3012</v>
      </c>
      <c r="D882" s="4">
        <v>1152</v>
      </c>
      <c r="E882" t="s">
        <v>3013</v>
      </c>
      <c r="F882" t="s">
        <v>16</v>
      </c>
      <c r="G882" t="s">
        <v>62</v>
      </c>
      <c r="H882">
        <v>12</v>
      </c>
      <c r="I882">
        <v>480</v>
      </c>
      <c r="J882" t="s">
        <v>516</v>
      </c>
      <c r="K882" s="17">
        <v>1.56</v>
      </c>
      <c r="L882" s="3">
        <f t="shared" si="15"/>
        <v>0</v>
      </c>
      <c r="N882" t="s">
        <v>3014</v>
      </c>
      <c r="O882" t="s">
        <v>30</v>
      </c>
      <c r="P882">
        <v>9.4600000000000009</v>
      </c>
    </row>
    <row r="883" spans="1:16" x14ac:dyDescent="0.35">
      <c r="A883" s="5" t="str">
        <f>HYPERLINK("https://tienda.tarracoimportexport.com/index.php?id_product=10283&amp;controller=product&amp;id_lang=4", "TR011299")</f>
        <v>TR011299</v>
      </c>
      <c r="B883" t="s">
        <v>3015</v>
      </c>
      <c r="D883" s="4">
        <v>752</v>
      </c>
      <c r="E883" t="s">
        <v>3016</v>
      </c>
      <c r="F883" t="s">
        <v>16</v>
      </c>
      <c r="G883" t="s">
        <v>62</v>
      </c>
      <c r="H883">
        <v>12</v>
      </c>
      <c r="I883">
        <v>480</v>
      </c>
      <c r="J883" t="s">
        <v>516</v>
      </c>
      <c r="K883" s="17">
        <v>1.56</v>
      </c>
      <c r="L883" s="3">
        <f t="shared" si="15"/>
        <v>0</v>
      </c>
      <c r="N883" t="s">
        <v>3017</v>
      </c>
      <c r="O883" t="s">
        <v>30</v>
      </c>
      <c r="P883">
        <v>9.4600000000000009</v>
      </c>
    </row>
    <row r="884" spans="1:16" x14ac:dyDescent="0.35">
      <c r="A884" s="5" t="str">
        <f>HYPERLINK("https://tienda.tarracoimportexport.com/index.php?id_product=10286&amp;controller=product&amp;id_lang=4", "TR011302")</f>
        <v>TR011302</v>
      </c>
      <c r="B884" t="s">
        <v>3018</v>
      </c>
      <c r="D884" s="4">
        <v>1200</v>
      </c>
      <c r="E884" t="s">
        <v>3019</v>
      </c>
      <c r="F884" t="s">
        <v>16</v>
      </c>
      <c r="G884" t="s">
        <v>62</v>
      </c>
      <c r="H884">
        <v>12</v>
      </c>
      <c r="I884">
        <v>480</v>
      </c>
      <c r="J884" t="s">
        <v>516</v>
      </c>
      <c r="K884" s="17">
        <v>1.56</v>
      </c>
      <c r="L884" s="3">
        <f t="shared" si="15"/>
        <v>0</v>
      </c>
      <c r="N884" t="s">
        <v>3020</v>
      </c>
      <c r="O884" t="s">
        <v>42</v>
      </c>
      <c r="P884">
        <v>9.4600000000000009</v>
      </c>
    </row>
    <row r="885" spans="1:16" x14ac:dyDescent="0.35">
      <c r="A885" s="5" t="str">
        <f>HYPERLINK("https://tienda.tarracoimportexport.com/index.php?id_product=8183&amp;controller=product&amp;id_lang=4", "TR009338")</f>
        <v>TR009338</v>
      </c>
      <c r="B885" t="s">
        <v>3021</v>
      </c>
      <c r="D885" s="4">
        <v>240</v>
      </c>
      <c r="E885" t="s">
        <v>3022</v>
      </c>
      <c r="F885" t="s">
        <v>16</v>
      </c>
      <c r="G885" t="s">
        <v>62</v>
      </c>
      <c r="H885">
        <v>12</v>
      </c>
      <c r="I885">
        <v>480</v>
      </c>
      <c r="J885" t="s">
        <v>516</v>
      </c>
      <c r="K885" s="17">
        <v>1.82</v>
      </c>
      <c r="L885" s="3">
        <f t="shared" si="15"/>
        <v>0</v>
      </c>
      <c r="N885" t="s">
        <v>3023</v>
      </c>
      <c r="O885" t="s">
        <v>42</v>
      </c>
      <c r="P885">
        <v>10.914999999999999</v>
      </c>
    </row>
    <row r="886" spans="1:16" x14ac:dyDescent="0.35">
      <c r="A886" s="5" t="str">
        <f>HYPERLINK("https://tienda.tarracoimportexport.com/index.php?id_product=8186&amp;controller=product&amp;id_lang=4", "TR009341")</f>
        <v>TR009341</v>
      </c>
      <c r="B886" t="s">
        <v>3024</v>
      </c>
      <c r="D886" s="4">
        <v>368</v>
      </c>
      <c r="E886" t="s">
        <v>3025</v>
      </c>
      <c r="F886" t="s">
        <v>16</v>
      </c>
      <c r="G886" t="s">
        <v>62</v>
      </c>
      <c r="H886">
        <v>12</v>
      </c>
      <c r="I886">
        <v>480</v>
      </c>
      <c r="J886" t="s">
        <v>516</v>
      </c>
      <c r="K886" s="17">
        <v>1.82</v>
      </c>
      <c r="L886" s="3">
        <f t="shared" si="15"/>
        <v>0</v>
      </c>
      <c r="N886" t="s">
        <v>3026</v>
      </c>
      <c r="O886" t="s">
        <v>42</v>
      </c>
      <c r="P886">
        <v>10.9</v>
      </c>
    </row>
    <row r="887" spans="1:16" x14ac:dyDescent="0.35">
      <c r="A887" s="5" t="str">
        <f>HYPERLINK("https://tienda.tarracoimportexport.com/index.php?id_product=617&amp;controller=product&amp;id_lang=4", "TR001222")</f>
        <v>TR001222</v>
      </c>
      <c r="B887" t="s">
        <v>3027</v>
      </c>
      <c r="D887" s="4">
        <v>19170</v>
      </c>
      <c r="E887" t="s">
        <v>3028</v>
      </c>
      <c r="F887" t="s">
        <v>16</v>
      </c>
      <c r="G887" t="s">
        <v>362</v>
      </c>
      <c r="H887">
        <v>12</v>
      </c>
      <c r="I887">
        <v>3600</v>
      </c>
      <c r="J887" t="s">
        <v>63</v>
      </c>
      <c r="K887" s="17">
        <v>0.51</v>
      </c>
      <c r="L887" s="3">
        <f t="shared" si="15"/>
        <v>0</v>
      </c>
      <c r="N887" t="s">
        <v>3029</v>
      </c>
      <c r="O887" t="s">
        <v>763</v>
      </c>
      <c r="P887">
        <v>1.63</v>
      </c>
    </row>
    <row r="888" spans="1:16" x14ac:dyDescent="0.35">
      <c r="A888" s="5" t="str">
        <f>HYPERLINK("https://tienda.tarracoimportexport.com/index.php?id_product=9305&amp;controller=product&amp;id_lang=4", "TR010378")</f>
        <v>TR010378</v>
      </c>
      <c r="B888" t="s">
        <v>3030</v>
      </c>
      <c r="D888" s="4">
        <v>7185</v>
      </c>
      <c r="E888" t="s">
        <v>3031</v>
      </c>
      <c r="F888" t="s">
        <v>16</v>
      </c>
      <c r="G888" t="s">
        <v>180</v>
      </c>
      <c r="H888">
        <v>24</v>
      </c>
      <c r="I888">
        <v>1080</v>
      </c>
      <c r="J888" t="s">
        <v>94</v>
      </c>
      <c r="K888" s="17">
        <v>1.47</v>
      </c>
      <c r="L888" s="3">
        <f t="shared" si="15"/>
        <v>0</v>
      </c>
      <c r="N888" t="s">
        <v>3032</v>
      </c>
      <c r="O888" t="s">
        <v>3033</v>
      </c>
      <c r="P888">
        <v>0.92</v>
      </c>
    </row>
    <row r="889" spans="1:16" x14ac:dyDescent="0.35">
      <c r="A889" s="5" t="str">
        <f>HYPERLINK("https://tienda.tarracoimportexport.com/index.php?id_product=5887&amp;controller=product&amp;id_lang=4", "TR007038")</f>
        <v>TR007038</v>
      </c>
      <c r="B889" t="s">
        <v>3034</v>
      </c>
      <c r="D889" s="4">
        <v>380</v>
      </c>
      <c r="E889" t="s">
        <v>3035</v>
      </c>
      <c r="F889" t="s">
        <v>16</v>
      </c>
      <c r="G889" t="s">
        <v>17</v>
      </c>
      <c r="H889">
        <v>12</v>
      </c>
      <c r="I889">
        <v>2400</v>
      </c>
      <c r="J889" t="s">
        <v>63</v>
      </c>
      <c r="K889" s="17">
        <v>0.82</v>
      </c>
      <c r="L889" s="3">
        <f t="shared" si="15"/>
        <v>0</v>
      </c>
      <c r="N889" t="s">
        <v>3036</v>
      </c>
      <c r="O889" t="s">
        <v>42</v>
      </c>
      <c r="P889">
        <v>1.575</v>
      </c>
    </row>
    <row r="890" spans="1:16" x14ac:dyDescent="0.35">
      <c r="A890" s="5" t="str">
        <f>HYPERLINK("https://tienda.tarracoimportexport.com/index.php?id_product=8135&amp;controller=product&amp;id_lang=4", "TR009292")</f>
        <v>TR009292</v>
      </c>
      <c r="B890" t="s">
        <v>3037</v>
      </c>
      <c r="D890" s="4">
        <v>6096</v>
      </c>
      <c r="E890" t="s">
        <v>3038</v>
      </c>
      <c r="F890" t="s">
        <v>16</v>
      </c>
      <c r="G890" t="s">
        <v>106</v>
      </c>
      <c r="H890">
        <v>12</v>
      </c>
      <c r="I890">
        <v>2880</v>
      </c>
      <c r="J890" t="s">
        <v>63</v>
      </c>
      <c r="K890" s="17">
        <v>0.54</v>
      </c>
      <c r="L890" s="3">
        <f t="shared" si="15"/>
        <v>0</v>
      </c>
      <c r="N890" t="s">
        <v>3039</v>
      </c>
      <c r="O890" t="s">
        <v>3040</v>
      </c>
      <c r="P890">
        <v>1.49</v>
      </c>
    </row>
    <row r="891" spans="1:16" x14ac:dyDescent="0.35">
      <c r="A891" s="5" t="str">
        <f>HYPERLINK("https://tienda.tarracoimportexport.com/index.php?id_product=8985&amp;controller=product&amp;id_lang=4", "TR010072")</f>
        <v>TR010072</v>
      </c>
      <c r="B891" t="s">
        <v>3041</v>
      </c>
      <c r="D891" s="4">
        <v>20210</v>
      </c>
      <c r="E891" t="s">
        <v>3042</v>
      </c>
      <c r="F891" t="s">
        <v>16</v>
      </c>
      <c r="G891" t="s">
        <v>27</v>
      </c>
      <c r="H891">
        <v>12</v>
      </c>
      <c r="I891">
        <v>1440</v>
      </c>
      <c r="J891" t="s">
        <v>47</v>
      </c>
      <c r="K891" s="17">
        <v>1.35</v>
      </c>
      <c r="L891" s="3">
        <f t="shared" si="15"/>
        <v>0</v>
      </c>
      <c r="N891" t="s">
        <v>3043</v>
      </c>
      <c r="O891" t="s">
        <v>3044</v>
      </c>
      <c r="P891">
        <v>1.335</v>
      </c>
    </row>
    <row r="892" spans="1:16" x14ac:dyDescent="0.35">
      <c r="A892" s="5" t="str">
        <f>HYPERLINK("https://tienda.tarracoimportexport.com/index.php?id_product=8983&amp;controller=product&amp;id_lang=4", "TR010070")</f>
        <v>TR010070</v>
      </c>
      <c r="B892" t="s">
        <v>3045</v>
      </c>
      <c r="D892" s="4">
        <v>575</v>
      </c>
      <c r="E892" t="s">
        <v>3046</v>
      </c>
      <c r="F892" t="s">
        <v>16</v>
      </c>
      <c r="G892" t="s">
        <v>46</v>
      </c>
      <c r="H892">
        <v>8</v>
      </c>
      <c r="I892">
        <v>120</v>
      </c>
      <c r="J892" t="s">
        <v>106</v>
      </c>
      <c r="K892" s="17">
        <v>6.1</v>
      </c>
      <c r="L892" s="3">
        <f t="shared" ref="L892:L954" si="16">K892*C892</f>
        <v>0</v>
      </c>
      <c r="N892" t="s">
        <v>3047</v>
      </c>
      <c r="O892" t="s">
        <v>3040</v>
      </c>
      <c r="P892">
        <v>3.78</v>
      </c>
    </row>
    <row r="893" spans="1:16" x14ac:dyDescent="0.35">
      <c r="A893" s="5" t="str">
        <f>HYPERLINK("https://tienda.tarracoimportexport.com/index.php?id_product=8982&amp;controller=product&amp;id_lang=4", "TR010069")</f>
        <v>TR010069</v>
      </c>
      <c r="B893" t="s">
        <v>3048</v>
      </c>
      <c r="D893" s="4">
        <v>1474</v>
      </c>
      <c r="E893" t="s">
        <v>3049</v>
      </c>
      <c r="F893" t="s">
        <v>16</v>
      </c>
      <c r="G893" t="s">
        <v>526</v>
      </c>
      <c r="H893">
        <v>8</v>
      </c>
      <c r="I893">
        <v>24</v>
      </c>
      <c r="J893" t="s">
        <v>106</v>
      </c>
      <c r="K893" s="17">
        <v>14</v>
      </c>
      <c r="L893" s="3">
        <f t="shared" si="16"/>
        <v>0</v>
      </c>
      <c r="N893" t="s">
        <v>3050</v>
      </c>
      <c r="O893" t="s">
        <v>3051</v>
      </c>
      <c r="P893">
        <v>1.63</v>
      </c>
    </row>
    <row r="894" spans="1:16" x14ac:dyDescent="0.35">
      <c r="A894" s="5" t="str">
        <f>HYPERLINK("https://tienda.tarracoimportexport.com/index.php?id_product=10518&amp;controller=product&amp;id_lang=4", "TR011495")</f>
        <v>TR011495</v>
      </c>
      <c r="B894" t="s">
        <v>3052</v>
      </c>
      <c r="D894" s="4">
        <v>552</v>
      </c>
      <c r="E894" t="s">
        <v>3053</v>
      </c>
      <c r="F894" t="s">
        <v>16</v>
      </c>
      <c r="G894" t="s">
        <v>50</v>
      </c>
      <c r="H894">
        <v>48</v>
      </c>
      <c r="I894">
        <v>5760</v>
      </c>
      <c r="J894" t="s">
        <v>1279</v>
      </c>
      <c r="K894" s="17">
        <v>0.68</v>
      </c>
      <c r="L894" s="3">
        <f t="shared" si="16"/>
        <v>0</v>
      </c>
      <c r="N894" t="s">
        <v>3054</v>
      </c>
      <c r="O894" t="s">
        <v>3055</v>
      </c>
      <c r="P894">
        <v>0.78500000000000003</v>
      </c>
    </row>
    <row r="895" spans="1:16" x14ac:dyDescent="0.35">
      <c r="A895" s="5" t="str">
        <f>HYPERLINK("https://tienda.tarracoimportexport.com/index.php?id_product=7592&amp;controller=product&amp;id_lang=4", "TR008762")</f>
        <v>TR008762</v>
      </c>
      <c r="B895" t="s">
        <v>3056</v>
      </c>
      <c r="D895" s="4">
        <v>972</v>
      </c>
      <c r="E895" t="s">
        <v>3057</v>
      </c>
      <c r="F895" t="s">
        <v>16</v>
      </c>
      <c r="G895" t="s">
        <v>50</v>
      </c>
      <c r="H895">
        <v>48</v>
      </c>
      <c r="I895">
        <v>5760</v>
      </c>
      <c r="J895" t="s">
        <v>1279</v>
      </c>
      <c r="K895" s="17">
        <v>0.68</v>
      </c>
      <c r="L895" s="3">
        <f t="shared" si="16"/>
        <v>0</v>
      </c>
      <c r="N895" t="s">
        <v>3058</v>
      </c>
      <c r="O895" t="s">
        <v>3059</v>
      </c>
      <c r="P895">
        <v>0.77</v>
      </c>
    </row>
    <row r="896" spans="1:16" x14ac:dyDescent="0.35">
      <c r="A896" s="5" t="str">
        <f>HYPERLINK("https://tienda.tarracoimportexport.com/index.php?id_product=7591&amp;controller=product&amp;id_lang=4", "TR008761")</f>
        <v>TR008761</v>
      </c>
      <c r="B896" t="s">
        <v>3060</v>
      </c>
      <c r="D896" s="4">
        <v>468</v>
      </c>
      <c r="E896" t="s">
        <v>3061</v>
      </c>
      <c r="F896" t="s">
        <v>16</v>
      </c>
      <c r="G896" t="s">
        <v>50</v>
      </c>
      <c r="H896">
        <v>48</v>
      </c>
      <c r="I896">
        <v>5760</v>
      </c>
      <c r="J896" t="s">
        <v>1279</v>
      </c>
      <c r="K896" s="17">
        <v>0.68</v>
      </c>
      <c r="L896" s="3">
        <f t="shared" si="16"/>
        <v>0</v>
      </c>
      <c r="N896" t="s">
        <v>3062</v>
      </c>
      <c r="O896" t="s">
        <v>3063</v>
      </c>
      <c r="P896">
        <v>0.68</v>
      </c>
    </row>
    <row r="897" spans="1:16" x14ac:dyDescent="0.35">
      <c r="A897" s="5" t="str">
        <f>HYPERLINK("https://tienda.tarracoimportexport.com/index.php?id_product=9749&amp;controller=product&amp;id_lang=4", "TR010798")</f>
        <v>TR010798</v>
      </c>
      <c r="B897" t="s">
        <v>3064</v>
      </c>
      <c r="D897" s="4">
        <v>8064</v>
      </c>
      <c r="E897" t="s">
        <v>3065</v>
      </c>
      <c r="F897" t="s">
        <v>16</v>
      </c>
      <c r="G897" t="s">
        <v>50</v>
      </c>
      <c r="H897">
        <v>12</v>
      </c>
      <c r="I897">
        <v>1152</v>
      </c>
      <c r="J897" t="s">
        <v>374</v>
      </c>
      <c r="K897" s="17">
        <v>1.85</v>
      </c>
      <c r="L897" s="3">
        <f t="shared" si="16"/>
        <v>0</v>
      </c>
      <c r="N897" t="s">
        <v>3066</v>
      </c>
      <c r="O897" t="s">
        <v>3067</v>
      </c>
      <c r="P897">
        <v>3.13</v>
      </c>
    </row>
    <row r="898" spans="1:16" x14ac:dyDescent="0.35">
      <c r="A898" s="5" t="str">
        <f>HYPERLINK("https://tienda.tarracoimportexport.com/index.php?id_product=9748&amp;controller=product&amp;id_lang=4", "TR010797")</f>
        <v>TR010797</v>
      </c>
      <c r="B898" t="s">
        <v>3068</v>
      </c>
      <c r="D898" s="4">
        <v>20064</v>
      </c>
      <c r="E898" t="s">
        <v>3069</v>
      </c>
      <c r="F898" t="s">
        <v>16</v>
      </c>
      <c r="G898" t="s">
        <v>50</v>
      </c>
      <c r="H898">
        <v>12</v>
      </c>
      <c r="I898">
        <v>1152</v>
      </c>
      <c r="J898" t="s">
        <v>374</v>
      </c>
      <c r="K898" s="17">
        <v>1.85</v>
      </c>
      <c r="L898" s="3">
        <f t="shared" si="16"/>
        <v>0</v>
      </c>
      <c r="N898" t="s">
        <v>3070</v>
      </c>
      <c r="O898" t="s">
        <v>3067</v>
      </c>
      <c r="P898">
        <v>3.0950000000000002</v>
      </c>
    </row>
    <row r="899" spans="1:16" x14ac:dyDescent="0.35">
      <c r="A899" s="5" t="str">
        <f>HYPERLINK("https://tienda.tarracoimportexport.com/index.php?id_product=753&amp;controller=product&amp;id_lang=4", "TR002204")</f>
        <v>TR002204</v>
      </c>
      <c r="B899" t="s">
        <v>3071</v>
      </c>
      <c r="D899" s="4">
        <v>7464</v>
      </c>
      <c r="E899" t="s">
        <v>3072</v>
      </c>
      <c r="F899" t="s">
        <v>16</v>
      </c>
      <c r="G899" t="s">
        <v>106</v>
      </c>
      <c r="H899">
        <v>8</v>
      </c>
      <c r="I899">
        <v>1344</v>
      </c>
      <c r="J899" t="s">
        <v>539</v>
      </c>
      <c r="K899" s="17">
        <v>1.26</v>
      </c>
      <c r="L899" s="3">
        <f t="shared" si="16"/>
        <v>0</v>
      </c>
      <c r="N899" t="s">
        <v>3072</v>
      </c>
      <c r="O899" t="s">
        <v>42</v>
      </c>
      <c r="P899">
        <v>2.4</v>
      </c>
    </row>
    <row r="900" spans="1:16" x14ac:dyDescent="0.35">
      <c r="A900" s="5" t="str">
        <f>HYPERLINK("https://tienda.tarracoimportexport.com/index.php?id_product=3493&amp;controller=product&amp;id_lang=4", "TR004938")</f>
        <v>TR004938</v>
      </c>
      <c r="B900" t="s">
        <v>3073</v>
      </c>
      <c r="D900" s="4">
        <v>5472</v>
      </c>
      <c r="E900" t="s">
        <v>3074</v>
      </c>
      <c r="F900" t="s">
        <v>16</v>
      </c>
      <c r="G900" t="s">
        <v>106</v>
      </c>
      <c r="H900">
        <v>8</v>
      </c>
      <c r="I900">
        <v>1344</v>
      </c>
      <c r="J900" t="s">
        <v>539</v>
      </c>
      <c r="K900" s="17">
        <v>1.08</v>
      </c>
      <c r="L900" s="3">
        <f t="shared" si="16"/>
        <v>0</v>
      </c>
      <c r="N900" t="s">
        <v>3075</v>
      </c>
      <c r="O900" t="s">
        <v>42</v>
      </c>
      <c r="P900">
        <v>2.5</v>
      </c>
    </row>
    <row r="901" spans="1:16" x14ac:dyDescent="0.35">
      <c r="A901" s="5" t="str">
        <f>HYPERLINK("https://tienda.tarracoimportexport.com/index.php?id_product=9701&amp;controller=product&amp;id_lang=4", "TR010752")</f>
        <v>TR010752</v>
      </c>
      <c r="B901" t="s">
        <v>3076</v>
      </c>
      <c r="D901" s="4">
        <v>7064</v>
      </c>
      <c r="E901" t="s">
        <v>3077</v>
      </c>
      <c r="F901" t="s">
        <v>16</v>
      </c>
      <c r="G901" t="s">
        <v>242</v>
      </c>
      <c r="H901">
        <v>20</v>
      </c>
      <c r="I901">
        <v>1280</v>
      </c>
      <c r="J901" t="s">
        <v>2746</v>
      </c>
      <c r="K901" s="17">
        <v>2.99</v>
      </c>
      <c r="L901" s="3">
        <f t="shared" si="16"/>
        <v>0</v>
      </c>
      <c r="N901" t="s">
        <v>3078</v>
      </c>
      <c r="O901" t="s">
        <v>3079</v>
      </c>
      <c r="P901">
        <v>0.29499999999999998</v>
      </c>
    </row>
    <row r="902" spans="1:16" x14ac:dyDescent="0.35">
      <c r="A902" s="5" t="str">
        <f>HYPERLINK("https://tienda.tarracoimportexport.com/index.php?id_product=9783&amp;controller=product&amp;id_lang=4", "TR010831")</f>
        <v>TR010831</v>
      </c>
      <c r="B902" t="s">
        <v>3080</v>
      </c>
      <c r="D902" s="4">
        <v>1816</v>
      </c>
      <c r="E902" t="s">
        <v>3081</v>
      </c>
      <c r="F902" t="s">
        <v>16</v>
      </c>
      <c r="G902" t="s">
        <v>62</v>
      </c>
      <c r="H902">
        <v>31</v>
      </c>
      <c r="I902">
        <v>1488</v>
      </c>
      <c r="J902" t="s">
        <v>3082</v>
      </c>
      <c r="K902" s="17">
        <v>4.75</v>
      </c>
      <c r="L902" s="3">
        <f t="shared" si="16"/>
        <v>0</v>
      </c>
      <c r="N902" t="s">
        <v>3083</v>
      </c>
      <c r="O902" t="s">
        <v>3084</v>
      </c>
      <c r="P902">
        <v>0.79500000000000004</v>
      </c>
    </row>
    <row r="903" spans="1:16" x14ac:dyDescent="0.35">
      <c r="A903" s="5" t="str">
        <f>HYPERLINK("https://tienda.tarracoimportexport.com/index.php?id_product=9700&amp;controller=product&amp;id_lang=4", "TR010751")</f>
        <v>TR010751</v>
      </c>
      <c r="B903" t="s">
        <v>3085</v>
      </c>
      <c r="D903" s="4">
        <v>1808</v>
      </c>
      <c r="E903" t="s">
        <v>3086</v>
      </c>
      <c r="F903" t="s">
        <v>16</v>
      </c>
      <c r="G903" t="s">
        <v>242</v>
      </c>
      <c r="H903">
        <v>23</v>
      </c>
      <c r="I903">
        <v>92</v>
      </c>
      <c r="J903" t="s">
        <v>3087</v>
      </c>
      <c r="K903" s="17">
        <v>12.97</v>
      </c>
      <c r="L903" s="3">
        <f t="shared" si="16"/>
        <v>0</v>
      </c>
      <c r="N903" t="s">
        <v>3088</v>
      </c>
      <c r="O903" t="s">
        <v>3089</v>
      </c>
      <c r="P903">
        <v>4</v>
      </c>
    </row>
    <row r="904" spans="1:16" x14ac:dyDescent="0.35">
      <c r="A904" s="5" t="str">
        <f>HYPERLINK("https://tienda.tarracoimportexport.com/index.php?id_product=10491&amp;controller=product&amp;id_lang=4", "TR011473")</f>
        <v>TR011473</v>
      </c>
      <c r="B904" t="s">
        <v>3090</v>
      </c>
      <c r="D904" s="4">
        <v>12260</v>
      </c>
      <c r="E904" t="s">
        <v>3091</v>
      </c>
      <c r="F904" t="s">
        <v>3092</v>
      </c>
      <c r="G904" t="s">
        <v>17</v>
      </c>
      <c r="H904">
        <v>8</v>
      </c>
      <c r="I904">
        <v>1120</v>
      </c>
      <c r="J904" t="s">
        <v>539</v>
      </c>
      <c r="K904" s="17">
        <v>0.89</v>
      </c>
      <c r="L904" s="3">
        <f t="shared" si="16"/>
        <v>0</v>
      </c>
      <c r="N904" t="s">
        <v>3093</v>
      </c>
      <c r="O904" t="s">
        <v>3094</v>
      </c>
      <c r="P904">
        <v>1.22</v>
      </c>
    </row>
    <row r="905" spans="1:16" x14ac:dyDescent="0.35">
      <c r="A905" s="5" t="str">
        <f>HYPERLINK("https://tienda.tarracoimportexport.com/index.php?id_product=8988&amp;controller=product&amp;id_lang=4", "TR010075")</f>
        <v>TR010075</v>
      </c>
      <c r="B905" t="s">
        <v>3095</v>
      </c>
      <c r="D905" s="4">
        <v>8592</v>
      </c>
      <c r="E905" t="s">
        <v>3096</v>
      </c>
      <c r="F905" t="s">
        <v>16</v>
      </c>
      <c r="G905" t="s">
        <v>50</v>
      </c>
      <c r="H905">
        <v>14</v>
      </c>
      <c r="I905">
        <v>1680</v>
      </c>
      <c r="J905" t="s">
        <v>379</v>
      </c>
      <c r="K905" s="17">
        <v>0.77</v>
      </c>
      <c r="L905" s="3">
        <f t="shared" si="16"/>
        <v>0</v>
      </c>
      <c r="N905" t="s">
        <v>3097</v>
      </c>
      <c r="O905" t="s">
        <v>3098</v>
      </c>
      <c r="P905">
        <v>0.56000000000000005</v>
      </c>
    </row>
    <row r="906" spans="1:16" x14ac:dyDescent="0.35">
      <c r="A906" s="5" t="str">
        <f>HYPERLINK("https://tienda.tarracoimportexport.com/index.php?id_product=9191&amp;controller=product&amp;id_lang=4", "TR010266")</f>
        <v>TR010266</v>
      </c>
      <c r="B906" t="s">
        <v>3099</v>
      </c>
      <c r="D906" s="4">
        <v>23808</v>
      </c>
      <c r="E906" t="s">
        <v>3100</v>
      </c>
      <c r="F906" t="s">
        <v>16</v>
      </c>
      <c r="G906" t="s">
        <v>106</v>
      </c>
      <c r="H906">
        <v>6</v>
      </c>
      <c r="I906">
        <v>1440</v>
      </c>
      <c r="J906" t="s">
        <v>516</v>
      </c>
      <c r="K906" s="17">
        <v>0.49</v>
      </c>
      <c r="L906" s="3">
        <f t="shared" si="16"/>
        <v>0</v>
      </c>
      <c r="N906" t="s">
        <v>3101</v>
      </c>
      <c r="O906" t="s">
        <v>3102</v>
      </c>
      <c r="P906">
        <v>1.06</v>
      </c>
    </row>
    <row r="907" spans="1:16" x14ac:dyDescent="0.35">
      <c r="A907" s="5" t="str">
        <f>HYPERLINK("https://tienda.tarracoimportexport.com/index.php?id_product=10541&amp;controller=product&amp;id_lang=4", "TR011517")</f>
        <v>TR011517</v>
      </c>
      <c r="B907" t="s">
        <v>3103</v>
      </c>
      <c r="D907" s="4">
        <v>7296</v>
      </c>
      <c r="E907" t="s">
        <v>3104</v>
      </c>
      <c r="F907" t="s">
        <v>16</v>
      </c>
      <c r="G907" t="s">
        <v>39</v>
      </c>
      <c r="H907">
        <v>16</v>
      </c>
      <c r="I907">
        <v>864</v>
      </c>
      <c r="J907" t="s">
        <v>47</v>
      </c>
      <c r="K907" s="17">
        <v>2.38</v>
      </c>
      <c r="L907" s="3">
        <f t="shared" si="16"/>
        <v>0</v>
      </c>
      <c r="N907" t="s">
        <v>3105</v>
      </c>
      <c r="O907" t="s">
        <v>3106</v>
      </c>
      <c r="P907">
        <v>0.83</v>
      </c>
    </row>
    <row r="908" spans="1:16" x14ac:dyDescent="0.35">
      <c r="A908" s="5" t="str">
        <f>HYPERLINK("https://tienda.tarracoimportexport.com/index.php?id_product=4134&amp;controller=product&amp;id_lang=4", "TR005474")</f>
        <v>TR005474</v>
      </c>
      <c r="B908" t="s">
        <v>3107</v>
      </c>
      <c r="D908" s="4">
        <v>10836</v>
      </c>
      <c r="E908" t="s">
        <v>3108</v>
      </c>
      <c r="F908" t="s">
        <v>16</v>
      </c>
      <c r="G908" t="s">
        <v>39</v>
      </c>
      <c r="H908">
        <v>16</v>
      </c>
      <c r="I908">
        <v>864</v>
      </c>
      <c r="J908" t="s">
        <v>47</v>
      </c>
      <c r="K908" s="17">
        <v>2.0099999999999998</v>
      </c>
      <c r="L908" s="3">
        <f t="shared" si="16"/>
        <v>0</v>
      </c>
      <c r="N908" t="s">
        <v>3109</v>
      </c>
      <c r="O908" t="s">
        <v>3110</v>
      </c>
      <c r="P908">
        <v>0.92500000000000004</v>
      </c>
    </row>
    <row r="909" spans="1:16" x14ac:dyDescent="0.35">
      <c r="A909" s="5" t="str">
        <f>HYPERLINK("https://tienda.tarracoimportexport.com/index.php?id_product=8987&amp;controller=product&amp;id_lang=4", "TR010074")</f>
        <v>TR010074</v>
      </c>
      <c r="B909" t="s">
        <v>3111</v>
      </c>
      <c r="D909" s="4">
        <v>2564</v>
      </c>
      <c r="E909" t="s">
        <v>3112</v>
      </c>
      <c r="F909" t="s">
        <v>16</v>
      </c>
      <c r="G909" t="s">
        <v>526</v>
      </c>
      <c r="H909">
        <v>7</v>
      </c>
      <c r="I909">
        <v>63</v>
      </c>
      <c r="J909" t="s">
        <v>2073</v>
      </c>
      <c r="K909" s="17">
        <v>15.3</v>
      </c>
      <c r="L909" s="3">
        <f t="shared" si="16"/>
        <v>0</v>
      </c>
      <c r="N909" t="s">
        <v>3113</v>
      </c>
      <c r="O909" t="s">
        <v>3114</v>
      </c>
      <c r="P909">
        <v>1.91</v>
      </c>
    </row>
    <row r="910" spans="1:16" x14ac:dyDescent="0.35">
      <c r="A910" s="27" t="str">
        <f>HYPERLINK("https://tienda.tarracoimportexport.com/index.php?id_product=8886&amp;controller=product&amp;id_lang=4", "TR009975")</f>
        <v>TR009975</v>
      </c>
      <c r="B910" t="s">
        <v>3151</v>
      </c>
      <c r="D910" s="4">
        <v>808</v>
      </c>
      <c r="E910" t="s">
        <v>3152</v>
      </c>
      <c r="F910" t="s">
        <v>16</v>
      </c>
      <c r="G910" t="s">
        <v>242</v>
      </c>
      <c r="H910">
        <v>27</v>
      </c>
      <c r="I910">
        <v>432</v>
      </c>
      <c r="J910" t="s">
        <v>383</v>
      </c>
      <c r="K910" s="25">
        <v>2.16</v>
      </c>
      <c r="L910" s="3">
        <f>K910*C910</f>
        <v>0</v>
      </c>
      <c r="N910" t="s">
        <v>3153</v>
      </c>
      <c r="O910" t="s">
        <v>42</v>
      </c>
      <c r="P910">
        <v>3.51</v>
      </c>
    </row>
    <row r="911" spans="1:16" x14ac:dyDescent="0.35">
      <c r="A911" s="27" t="str">
        <f>HYPERLINK("https://tienda.tarracoimportexport.com/index.php?id_product=8888&amp;controller=product&amp;id_lang=4", "TR009977")</f>
        <v>TR009977</v>
      </c>
      <c r="B911" t="s">
        <v>3154</v>
      </c>
      <c r="D911" s="4">
        <v>960</v>
      </c>
      <c r="E911" t="s">
        <v>3155</v>
      </c>
      <c r="F911" t="s">
        <v>16</v>
      </c>
      <c r="G911" t="s">
        <v>39</v>
      </c>
      <c r="H911">
        <v>10</v>
      </c>
      <c r="I911">
        <v>300</v>
      </c>
      <c r="J911" t="s">
        <v>327</v>
      </c>
      <c r="K911" s="25">
        <v>3.19</v>
      </c>
      <c r="L911" s="3">
        <f>K911*C911</f>
        <v>0</v>
      </c>
      <c r="N911" t="s">
        <v>3156</v>
      </c>
      <c r="O911" t="s">
        <v>422</v>
      </c>
      <c r="P911">
        <v>11.34</v>
      </c>
    </row>
    <row r="912" spans="1:16" x14ac:dyDescent="0.35">
      <c r="A912" s="27" t="str">
        <f>HYPERLINK("https://tienda.tarracoimportexport.com/index.php?id_product=8887&amp;controller=product&amp;id_lang=4", "TR009976")</f>
        <v>TR009976</v>
      </c>
      <c r="B912" t="s">
        <v>3115</v>
      </c>
      <c r="D912" s="4">
        <v>696</v>
      </c>
      <c r="E912" t="s">
        <v>3116</v>
      </c>
      <c r="F912" t="s">
        <v>16</v>
      </c>
      <c r="G912" t="s">
        <v>39</v>
      </c>
      <c r="H912">
        <v>10</v>
      </c>
      <c r="I912">
        <v>300</v>
      </c>
      <c r="J912" t="s">
        <v>327</v>
      </c>
      <c r="K912" s="25">
        <v>3.17</v>
      </c>
      <c r="L912" s="3">
        <f>K912*C912</f>
        <v>0</v>
      </c>
      <c r="N912" t="s">
        <v>3117</v>
      </c>
      <c r="O912" t="s">
        <v>422</v>
      </c>
      <c r="P912">
        <v>11.37</v>
      </c>
    </row>
    <row r="913" spans="12:12" x14ac:dyDescent="0.35">
      <c r="L913" s="3">
        <f t="shared" si="16"/>
        <v>0</v>
      </c>
    </row>
    <row r="914" spans="12:12" x14ac:dyDescent="0.35">
      <c r="L914" s="3">
        <f t="shared" si="16"/>
        <v>0</v>
      </c>
    </row>
    <row r="915" spans="12:12" x14ac:dyDescent="0.35">
      <c r="L915" s="3">
        <f t="shared" si="16"/>
        <v>0</v>
      </c>
    </row>
    <row r="916" spans="12:12" x14ac:dyDescent="0.35">
      <c r="L916" s="3">
        <f t="shared" si="16"/>
        <v>0</v>
      </c>
    </row>
    <row r="917" spans="12:12" x14ac:dyDescent="0.35">
      <c r="L917" s="3">
        <f t="shared" si="16"/>
        <v>0</v>
      </c>
    </row>
    <row r="918" spans="12:12" x14ac:dyDescent="0.35">
      <c r="L918" s="3">
        <f t="shared" si="16"/>
        <v>0</v>
      </c>
    </row>
    <row r="919" spans="12:12" x14ac:dyDescent="0.35">
      <c r="L919" s="3">
        <f t="shared" si="16"/>
        <v>0</v>
      </c>
    </row>
    <row r="920" spans="12:12" x14ac:dyDescent="0.35">
      <c r="L920" s="3">
        <f t="shared" si="16"/>
        <v>0</v>
      </c>
    </row>
    <row r="921" spans="12:12" x14ac:dyDescent="0.35">
      <c r="L921" s="3">
        <f t="shared" si="16"/>
        <v>0</v>
      </c>
    </row>
    <row r="922" spans="12:12" x14ac:dyDescent="0.35">
      <c r="L922" s="3">
        <f t="shared" si="16"/>
        <v>0</v>
      </c>
    </row>
    <row r="923" spans="12:12" x14ac:dyDescent="0.35">
      <c r="L923" s="3">
        <f t="shared" si="16"/>
        <v>0</v>
      </c>
    </row>
    <row r="924" spans="12:12" x14ac:dyDescent="0.35">
      <c r="L924" s="3">
        <f t="shared" si="16"/>
        <v>0</v>
      </c>
    </row>
    <row r="925" spans="12:12" x14ac:dyDescent="0.35">
      <c r="L925" s="3">
        <f t="shared" si="16"/>
        <v>0</v>
      </c>
    </row>
    <row r="926" spans="12:12" x14ac:dyDescent="0.35">
      <c r="L926" s="3">
        <f t="shared" si="16"/>
        <v>0</v>
      </c>
    </row>
    <row r="927" spans="12:12" x14ac:dyDescent="0.35">
      <c r="L927" s="3">
        <f t="shared" si="16"/>
        <v>0</v>
      </c>
    </row>
    <row r="928" spans="12:12" x14ac:dyDescent="0.35">
      <c r="L928" s="3">
        <f t="shared" si="16"/>
        <v>0</v>
      </c>
    </row>
    <row r="929" spans="12:12" x14ac:dyDescent="0.35">
      <c r="L929" s="3">
        <f t="shared" si="16"/>
        <v>0</v>
      </c>
    </row>
    <row r="930" spans="12:12" x14ac:dyDescent="0.35">
      <c r="L930" s="3">
        <f t="shared" si="16"/>
        <v>0</v>
      </c>
    </row>
    <row r="931" spans="12:12" x14ac:dyDescent="0.35">
      <c r="L931" s="3">
        <f t="shared" si="16"/>
        <v>0</v>
      </c>
    </row>
    <row r="932" spans="12:12" x14ac:dyDescent="0.35">
      <c r="L932" s="3">
        <f t="shared" si="16"/>
        <v>0</v>
      </c>
    </row>
    <row r="933" spans="12:12" x14ac:dyDescent="0.35">
      <c r="L933" s="3">
        <f t="shared" si="16"/>
        <v>0</v>
      </c>
    </row>
    <row r="934" spans="12:12" x14ac:dyDescent="0.35">
      <c r="L934" s="3">
        <f t="shared" si="16"/>
        <v>0</v>
      </c>
    </row>
    <row r="935" spans="12:12" x14ac:dyDescent="0.35">
      <c r="L935" s="3">
        <f t="shared" si="16"/>
        <v>0</v>
      </c>
    </row>
    <row r="936" spans="12:12" x14ac:dyDescent="0.35">
      <c r="L936" s="3">
        <f t="shared" si="16"/>
        <v>0</v>
      </c>
    </row>
    <row r="937" spans="12:12" x14ac:dyDescent="0.35">
      <c r="L937" s="3">
        <f t="shared" si="16"/>
        <v>0</v>
      </c>
    </row>
    <row r="938" spans="12:12" x14ac:dyDescent="0.35">
      <c r="L938" s="3">
        <f t="shared" si="16"/>
        <v>0</v>
      </c>
    </row>
    <row r="939" spans="12:12" x14ac:dyDescent="0.35">
      <c r="L939" s="3">
        <f t="shared" si="16"/>
        <v>0</v>
      </c>
    </row>
    <row r="940" spans="12:12" x14ac:dyDescent="0.35">
      <c r="L940" s="3">
        <f t="shared" si="16"/>
        <v>0</v>
      </c>
    </row>
    <row r="941" spans="12:12" x14ac:dyDescent="0.35">
      <c r="L941" s="3">
        <f t="shared" si="16"/>
        <v>0</v>
      </c>
    </row>
    <row r="942" spans="12:12" x14ac:dyDescent="0.35">
      <c r="L942" s="3">
        <f t="shared" si="16"/>
        <v>0</v>
      </c>
    </row>
    <row r="943" spans="12:12" x14ac:dyDescent="0.35">
      <c r="L943" s="3">
        <f t="shared" si="16"/>
        <v>0</v>
      </c>
    </row>
    <row r="944" spans="12:12" x14ac:dyDescent="0.35">
      <c r="L944" s="3">
        <f t="shared" si="16"/>
        <v>0</v>
      </c>
    </row>
    <row r="945" spans="12:12" x14ac:dyDescent="0.35">
      <c r="L945" s="3">
        <f t="shared" si="16"/>
        <v>0</v>
      </c>
    </row>
    <row r="946" spans="12:12" x14ac:dyDescent="0.35">
      <c r="L946" s="3">
        <f t="shared" si="16"/>
        <v>0</v>
      </c>
    </row>
    <row r="947" spans="12:12" x14ac:dyDescent="0.35">
      <c r="L947" s="3">
        <f t="shared" si="16"/>
        <v>0</v>
      </c>
    </row>
    <row r="948" spans="12:12" x14ac:dyDescent="0.35">
      <c r="L948" s="3">
        <f t="shared" si="16"/>
        <v>0</v>
      </c>
    </row>
    <row r="949" spans="12:12" x14ac:dyDescent="0.35">
      <c r="L949" s="3">
        <f t="shared" si="16"/>
        <v>0</v>
      </c>
    </row>
    <row r="950" spans="12:12" x14ac:dyDescent="0.35">
      <c r="L950" s="3">
        <f t="shared" si="16"/>
        <v>0</v>
      </c>
    </row>
    <row r="951" spans="12:12" x14ac:dyDescent="0.35">
      <c r="L951" s="3">
        <f t="shared" si="16"/>
        <v>0</v>
      </c>
    </row>
    <row r="952" spans="12:12" x14ac:dyDescent="0.35">
      <c r="L952" s="3">
        <f t="shared" si="16"/>
        <v>0</v>
      </c>
    </row>
    <row r="953" spans="12:12" x14ac:dyDescent="0.35">
      <c r="L953" s="3">
        <f t="shared" si="16"/>
        <v>0</v>
      </c>
    </row>
    <row r="954" spans="12:12" x14ac:dyDescent="0.35">
      <c r="L954" s="3">
        <f t="shared" si="16"/>
        <v>0</v>
      </c>
    </row>
    <row r="955" spans="12:12" x14ac:dyDescent="0.35">
      <c r="L955" s="3">
        <f t="shared" ref="L955:L1018" si="17">K955*C955</f>
        <v>0</v>
      </c>
    </row>
    <row r="956" spans="12:12" x14ac:dyDescent="0.35">
      <c r="L956" s="3">
        <f t="shared" si="17"/>
        <v>0</v>
      </c>
    </row>
    <row r="957" spans="12:12" x14ac:dyDescent="0.35">
      <c r="L957" s="3">
        <f t="shared" si="17"/>
        <v>0</v>
      </c>
    </row>
    <row r="958" spans="12:12" x14ac:dyDescent="0.35">
      <c r="L958" s="3">
        <f t="shared" si="17"/>
        <v>0</v>
      </c>
    </row>
    <row r="959" spans="12:12" x14ac:dyDescent="0.35">
      <c r="L959" s="3">
        <f t="shared" si="17"/>
        <v>0</v>
      </c>
    </row>
    <row r="960" spans="12:12" x14ac:dyDescent="0.35">
      <c r="L960" s="3">
        <f t="shared" si="17"/>
        <v>0</v>
      </c>
    </row>
    <row r="961" spans="12:12" x14ac:dyDescent="0.35">
      <c r="L961" s="3">
        <f t="shared" si="17"/>
        <v>0</v>
      </c>
    </row>
    <row r="962" spans="12:12" x14ac:dyDescent="0.35">
      <c r="L962" s="3">
        <f t="shared" si="17"/>
        <v>0</v>
      </c>
    </row>
    <row r="963" spans="12:12" x14ac:dyDescent="0.35">
      <c r="L963" s="3">
        <f t="shared" si="17"/>
        <v>0</v>
      </c>
    </row>
    <row r="964" spans="12:12" x14ac:dyDescent="0.35">
      <c r="L964" s="3">
        <f t="shared" si="17"/>
        <v>0</v>
      </c>
    </row>
    <row r="965" spans="12:12" x14ac:dyDescent="0.35">
      <c r="L965" s="3">
        <f t="shared" si="17"/>
        <v>0</v>
      </c>
    </row>
    <row r="966" spans="12:12" x14ac:dyDescent="0.35">
      <c r="L966" s="3">
        <f t="shared" si="17"/>
        <v>0</v>
      </c>
    </row>
    <row r="967" spans="12:12" x14ac:dyDescent="0.35">
      <c r="L967" s="3">
        <f t="shared" si="17"/>
        <v>0</v>
      </c>
    </row>
    <row r="968" spans="12:12" x14ac:dyDescent="0.35">
      <c r="L968" s="3">
        <f t="shared" si="17"/>
        <v>0</v>
      </c>
    </row>
    <row r="969" spans="12:12" x14ac:dyDescent="0.35">
      <c r="L969" s="3">
        <f t="shared" si="17"/>
        <v>0</v>
      </c>
    </row>
    <row r="970" spans="12:12" x14ac:dyDescent="0.35">
      <c r="L970" s="3">
        <f t="shared" si="17"/>
        <v>0</v>
      </c>
    </row>
    <row r="971" spans="12:12" x14ac:dyDescent="0.35">
      <c r="L971" s="3">
        <f t="shared" si="17"/>
        <v>0</v>
      </c>
    </row>
    <row r="972" spans="12:12" x14ac:dyDescent="0.35">
      <c r="L972" s="3">
        <f t="shared" si="17"/>
        <v>0</v>
      </c>
    </row>
    <row r="973" spans="12:12" x14ac:dyDescent="0.35">
      <c r="L973" s="3">
        <f t="shared" si="17"/>
        <v>0</v>
      </c>
    </row>
    <row r="974" spans="12:12" x14ac:dyDescent="0.35">
      <c r="L974" s="3">
        <f t="shared" si="17"/>
        <v>0</v>
      </c>
    </row>
    <row r="975" spans="12:12" x14ac:dyDescent="0.35">
      <c r="L975" s="3">
        <f t="shared" si="17"/>
        <v>0</v>
      </c>
    </row>
    <row r="976" spans="12:12" x14ac:dyDescent="0.35">
      <c r="L976" s="3">
        <f t="shared" si="17"/>
        <v>0</v>
      </c>
    </row>
    <row r="977" spans="12:12" x14ac:dyDescent="0.35">
      <c r="L977" s="3">
        <f t="shared" si="17"/>
        <v>0</v>
      </c>
    </row>
    <row r="978" spans="12:12" x14ac:dyDescent="0.35">
      <c r="L978" s="3">
        <f t="shared" si="17"/>
        <v>0</v>
      </c>
    </row>
    <row r="979" spans="12:12" x14ac:dyDescent="0.35">
      <c r="L979" s="3">
        <f t="shared" si="17"/>
        <v>0</v>
      </c>
    </row>
    <row r="980" spans="12:12" x14ac:dyDescent="0.35">
      <c r="L980" s="3">
        <f t="shared" si="17"/>
        <v>0</v>
      </c>
    </row>
    <row r="981" spans="12:12" x14ac:dyDescent="0.35">
      <c r="L981" s="3">
        <f t="shared" si="17"/>
        <v>0</v>
      </c>
    </row>
    <row r="982" spans="12:12" x14ac:dyDescent="0.35">
      <c r="L982" s="3">
        <f t="shared" si="17"/>
        <v>0</v>
      </c>
    </row>
    <row r="983" spans="12:12" x14ac:dyDescent="0.35">
      <c r="L983" s="3">
        <f t="shared" si="17"/>
        <v>0</v>
      </c>
    </row>
    <row r="984" spans="12:12" x14ac:dyDescent="0.35">
      <c r="L984" s="3">
        <f t="shared" si="17"/>
        <v>0</v>
      </c>
    </row>
    <row r="985" spans="12:12" x14ac:dyDescent="0.35">
      <c r="L985" s="3">
        <f t="shared" si="17"/>
        <v>0</v>
      </c>
    </row>
    <row r="986" spans="12:12" x14ac:dyDescent="0.35">
      <c r="L986" s="3">
        <f t="shared" si="17"/>
        <v>0</v>
      </c>
    </row>
    <row r="987" spans="12:12" x14ac:dyDescent="0.35">
      <c r="L987" s="3">
        <f t="shared" si="17"/>
        <v>0</v>
      </c>
    </row>
    <row r="988" spans="12:12" x14ac:dyDescent="0.35">
      <c r="L988" s="3">
        <f t="shared" si="17"/>
        <v>0</v>
      </c>
    </row>
    <row r="989" spans="12:12" x14ac:dyDescent="0.35">
      <c r="L989" s="3">
        <f t="shared" si="17"/>
        <v>0</v>
      </c>
    </row>
    <row r="990" spans="12:12" x14ac:dyDescent="0.35">
      <c r="L990" s="3">
        <f t="shared" si="17"/>
        <v>0</v>
      </c>
    </row>
    <row r="991" spans="12:12" x14ac:dyDescent="0.35">
      <c r="L991" s="3">
        <f t="shared" si="17"/>
        <v>0</v>
      </c>
    </row>
    <row r="992" spans="12:12" x14ac:dyDescent="0.35">
      <c r="L992" s="3">
        <f t="shared" si="17"/>
        <v>0</v>
      </c>
    </row>
    <row r="993" spans="12:12" x14ac:dyDescent="0.35">
      <c r="L993" s="3">
        <f t="shared" si="17"/>
        <v>0</v>
      </c>
    </row>
    <row r="994" spans="12:12" x14ac:dyDescent="0.35">
      <c r="L994" s="3">
        <f t="shared" si="17"/>
        <v>0</v>
      </c>
    </row>
    <row r="995" spans="12:12" x14ac:dyDescent="0.35">
      <c r="L995" s="3">
        <f t="shared" si="17"/>
        <v>0</v>
      </c>
    </row>
    <row r="996" spans="12:12" x14ac:dyDescent="0.35">
      <c r="L996" s="3">
        <f t="shared" si="17"/>
        <v>0</v>
      </c>
    </row>
    <row r="997" spans="12:12" x14ac:dyDescent="0.35">
      <c r="L997" s="3">
        <f t="shared" si="17"/>
        <v>0</v>
      </c>
    </row>
    <row r="998" spans="12:12" x14ac:dyDescent="0.35">
      <c r="L998" s="3">
        <f t="shared" si="17"/>
        <v>0</v>
      </c>
    </row>
    <row r="999" spans="12:12" x14ac:dyDescent="0.35">
      <c r="L999" s="3">
        <f t="shared" si="17"/>
        <v>0</v>
      </c>
    </row>
    <row r="1000" spans="12:12" x14ac:dyDescent="0.35">
      <c r="L1000" s="3">
        <f t="shared" si="17"/>
        <v>0</v>
      </c>
    </row>
    <row r="1001" spans="12:12" x14ac:dyDescent="0.35">
      <c r="L1001" s="3">
        <f t="shared" si="17"/>
        <v>0</v>
      </c>
    </row>
    <row r="1002" spans="12:12" x14ac:dyDescent="0.35">
      <c r="L1002" s="3">
        <f t="shared" si="17"/>
        <v>0</v>
      </c>
    </row>
    <row r="1003" spans="12:12" x14ac:dyDescent="0.35">
      <c r="L1003" s="3">
        <f t="shared" si="17"/>
        <v>0</v>
      </c>
    </row>
    <row r="1004" spans="12:12" x14ac:dyDescent="0.35">
      <c r="L1004" s="3">
        <f t="shared" si="17"/>
        <v>0</v>
      </c>
    </row>
    <row r="1005" spans="12:12" x14ac:dyDescent="0.35">
      <c r="L1005" s="3">
        <f t="shared" si="17"/>
        <v>0</v>
      </c>
    </row>
    <row r="1006" spans="12:12" x14ac:dyDescent="0.35">
      <c r="L1006" s="3">
        <f t="shared" si="17"/>
        <v>0</v>
      </c>
    </row>
    <row r="1007" spans="12:12" x14ac:dyDescent="0.35">
      <c r="L1007" s="3">
        <f t="shared" si="17"/>
        <v>0</v>
      </c>
    </row>
    <row r="1008" spans="12:12" x14ac:dyDescent="0.35">
      <c r="L1008" s="3">
        <f t="shared" si="17"/>
        <v>0</v>
      </c>
    </row>
    <row r="1009" spans="12:12" x14ac:dyDescent="0.35">
      <c r="L1009" s="3">
        <f t="shared" si="17"/>
        <v>0</v>
      </c>
    </row>
    <row r="1010" spans="12:12" x14ac:dyDescent="0.35">
      <c r="L1010" s="3">
        <f t="shared" si="17"/>
        <v>0</v>
      </c>
    </row>
    <row r="1011" spans="12:12" x14ac:dyDescent="0.35">
      <c r="L1011" s="3">
        <f t="shared" si="17"/>
        <v>0</v>
      </c>
    </row>
    <row r="1012" spans="12:12" x14ac:dyDescent="0.35">
      <c r="L1012" s="3">
        <f t="shared" si="17"/>
        <v>0</v>
      </c>
    </row>
    <row r="1013" spans="12:12" x14ac:dyDescent="0.35">
      <c r="L1013" s="3">
        <f t="shared" si="17"/>
        <v>0</v>
      </c>
    </row>
    <row r="1014" spans="12:12" x14ac:dyDescent="0.35">
      <c r="L1014" s="3">
        <f t="shared" si="17"/>
        <v>0</v>
      </c>
    </row>
    <row r="1015" spans="12:12" x14ac:dyDescent="0.35">
      <c r="L1015" s="3">
        <f t="shared" si="17"/>
        <v>0</v>
      </c>
    </row>
    <row r="1016" spans="12:12" x14ac:dyDescent="0.35">
      <c r="L1016" s="3">
        <f t="shared" si="17"/>
        <v>0</v>
      </c>
    </row>
    <row r="1017" spans="12:12" x14ac:dyDescent="0.35">
      <c r="L1017" s="3">
        <f t="shared" si="17"/>
        <v>0</v>
      </c>
    </row>
    <row r="1018" spans="12:12" x14ac:dyDescent="0.35">
      <c r="L1018" s="3">
        <f t="shared" si="17"/>
        <v>0</v>
      </c>
    </row>
    <row r="1019" spans="12:12" x14ac:dyDescent="0.35">
      <c r="L1019" s="3">
        <f t="shared" ref="L1019:L1082" si="18">K1019*C1019</f>
        <v>0</v>
      </c>
    </row>
    <row r="1020" spans="12:12" x14ac:dyDescent="0.35">
      <c r="L1020" s="3">
        <f t="shared" si="18"/>
        <v>0</v>
      </c>
    </row>
    <row r="1021" spans="12:12" x14ac:dyDescent="0.35">
      <c r="L1021" s="3">
        <f t="shared" si="18"/>
        <v>0</v>
      </c>
    </row>
    <row r="1022" spans="12:12" x14ac:dyDescent="0.35">
      <c r="L1022" s="3">
        <f t="shared" si="18"/>
        <v>0</v>
      </c>
    </row>
    <row r="1023" spans="12:12" x14ac:dyDescent="0.35">
      <c r="L1023" s="3">
        <f t="shared" si="18"/>
        <v>0</v>
      </c>
    </row>
    <row r="1024" spans="12:12" x14ac:dyDescent="0.35">
      <c r="L1024" s="3">
        <f t="shared" si="18"/>
        <v>0</v>
      </c>
    </row>
    <row r="1025" spans="12:12" x14ac:dyDescent="0.35">
      <c r="L1025" s="3">
        <f t="shared" si="18"/>
        <v>0</v>
      </c>
    </row>
    <row r="1026" spans="12:12" x14ac:dyDescent="0.35">
      <c r="L1026" s="3">
        <f t="shared" si="18"/>
        <v>0</v>
      </c>
    </row>
    <row r="1027" spans="12:12" x14ac:dyDescent="0.35">
      <c r="L1027" s="3">
        <f t="shared" si="18"/>
        <v>0</v>
      </c>
    </row>
    <row r="1028" spans="12:12" x14ac:dyDescent="0.35">
      <c r="L1028" s="3">
        <f t="shared" si="18"/>
        <v>0</v>
      </c>
    </row>
    <row r="1029" spans="12:12" x14ac:dyDescent="0.35">
      <c r="L1029" s="3">
        <f t="shared" si="18"/>
        <v>0</v>
      </c>
    </row>
    <row r="1030" spans="12:12" x14ac:dyDescent="0.35">
      <c r="L1030" s="3">
        <f t="shared" si="18"/>
        <v>0</v>
      </c>
    </row>
    <row r="1031" spans="12:12" x14ac:dyDescent="0.35">
      <c r="L1031" s="3">
        <f t="shared" si="18"/>
        <v>0</v>
      </c>
    </row>
    <row r="1032" spans="12:12" x14ac:dyDescent="0.35">
      <c r="L1032" s="3">
        <f t="shared" si="18"/>
        <v>0</v>
      </c>
    </row>
    <row r="1033" spans="12:12" x14ac:dyDescent="0.35">
      <c r="L1033" s="3">
        <f t="shared" si="18"/>
        <v>0</v>
      </c>
    </row>
    <row r="1034" spans="12:12" x14ac:dyDescent="0.35">
      <c r="L1034" s="3">
        <f t="shared" si="18"/>
        <v>0</v>
      </c>
    </row>
    <row r="1035" spans="12:12" x14ac:dyDescent="0.35">
      <c r="L1035" s="3">
        <f t="shared" si="18"/>
        <v>0</v>
      </c>
    </row>
    <row r="1036" spans="12:12" x14ac:dyDescent="0.35">
      <c r="L1036" s="3">
        <f t="shared" si="18"/>
        <v>0</v>
      </c>
    </row>
    <row r="1037" spans="12:12" x14ac:dyDescent="0.35">
      <c r="L1037" s="3">
        <f t="shared" si="18"/>
        <v>0</v>
      </c>
    </row>
    <row r="1038" spans="12:12" x14ac:dyDescent="0.35">
      <c r="L1038" s="3">
        <f t="shared" si="18"/>
        <v>0</v>
      </c>
    </row>
    <row r="1039" spans="12:12" x14ac:dyDescent="0.35">
      <c r="L1039" s="3">
        <f t="shared" si="18"/>
        <v>0</v>
      </c>
    </row>
    <row r="1040" spans="12:12" x14ac:dyDescent="0.35">
      <c r="L1040" s="3">
        <f t="shared" si="18"/>
        <v>0</v>
      </c>
    </row>
    <row r="1041" spans="12:12" x14ac:dyDescent="0.35">
      <c r="L1041" s="3">
        <f t="shared" si="18"/>
        <v>0</v>
      </c>
    </row>
    <row r="1042" spans="12:12" x14ac:dyDescent="0.35">
      <c r="L1042" s="3">
        <f t="shared" si="18"/>
        <v>0</v>
      </c>
    </row>
    <row r="1043" spans="12:12" x14ac:dyDescent="0.35">
      <c r="L1043" s="3">
        <f t="shared" si="18"/>
        <v>0</v>
      </c>
    </row>
    <row r="1044" spans="12:12" x14ac:dyDescent="0.35">
      <c r="L1044" s="3">
        <f t="shared" si="18"/>
        <v>0</v>
      </c>
    </row>
    <row r="1045" spans="12:12" x14ac:dyDescent="0.35">
      <c r="L1045" s="3">
        <f t="shared" si="18"/>
        <v>0</v>
      </c>
    </row>
    <row r="1046" spans="12:12" x14ac:dyDescent="0.35">
      <c r="L1046" s="3">
        <f t="shared" si="18"/>
        <v>0</v>
      </c>
    </row>
    <row r="1047" spans="12:12" x14ac:dyDescent="0.35">
      <c r="L1047" s="3">
        <f t="shared" si="18"/>
        <v>0</v>
      </c>
    </row>
    <row r="1048" spans="12:12" x14ac:dyDescent="0.35">
      <c r="L1048" s="3">
        <f t="shared" si="18"/>
        <v>0</v>
      </c>
    </row>
    <row r="1049" spans="12:12" x14ac:dyDescent="0.35">
      <c r="L1049" s="3">
        <f t="shared" si="18"/>
        <v>0</v>
      </c>
    </row>
    <row r="1050" spans="12:12" x14ac:dyDescent="0.35">
      <c r="L1050" s="3">
        <f t="shared" si="18"/>
        <v>0</v>
      </c>
    </row>
    <row r="1051" spans="12:12" x14ac:dyDescent="0.35">
      <c r="L1051" s="3">
        <f t="shared" si="18"/>
        <v>0</v>
      </c>
    </row>
    <row r="1052" spans="12:12" x14ac:dyDescent="0.35">
      <c r="L1052" s="3">
        <f t="shared" si="18"/>
        <v>0</v>
      </c>
    </row>
    <row r="1053" spans="12:12" x14ac:dyDescent="0.35">
      <c r="L1053" s="3">
        <f t="shared" si="18"/>
        <v>0</v>
      </c>
    </row>
    <row r="1054" spans="12:12" x14ac:dyDescent="0.35">
      <c r="L1054" s="3">
        <f t="shared" si="18"/>
        <v>0</v>
      </c>
    </row>
    <row r="1055" spans="12:12" x14ac:dyDescent="0.35">
      <c r="L1055" s="3">
        <f t="shared" si="18"/>
        <v>0</v>
      </c>
    </row>
    <row r="1056" spans="12:12" x14ac:dyDescent="0.35">
      <c r="L1056" s="3">
        <f t="shared" si="18"/>
        <v>0</v>
      </c>
    </row>
    <row r="1057" spans="12:12" x14ac:dyDescent="0.35">
      <c r="L1057" s="3">
        <f t="shared" si="18"/>
        <v>0</v>
      </c>
    </row>
    <row r="1058" spans="12:12" x14ac:dyDescent="0.35">
      <c r="L1058" s="3">
        <f t="shared" si="18"/>
        <v>0</v>
      </c>
    </row>
    <row r="1059" spans="12:12" x14ac:dyDescent="0.35">
      <c r="L1059" s="3">
        <f t="shared" si="18"/>
        <v>0</v>
      </c>
    </row>
    <row r="1060" spans="12:12" x14ac:dyDescent="0.35">
      <c r="L1060" s="3">
        <f t="shared" si="18"/>
        <v>0</v>
      </c>
    </row>
    <row r="1061" spans="12:12" x14ac:dyDescent="0.35">
      <c r="L1061" s="3">
        <f t="shared" si="18"/>
        <v>0</v>
      </c>
    </row>
    <row r="1062" spans="12:12" x14ac:dyDescent="0.35">
      <c r="L1062" s="3">
        <f t="shared" si="18"/>
        <v>0</v>
      </c>
    </row>
    <row r="1063" spans="12:12" x14ac:dyDescent="0.35">
      <c r="L1063" s="3">
        <f t="shared" si="18"/>
        <v>0</v>
      </c>
    </row>
    <row r="1064" spans="12:12" x14ac:dyDescent="0.35">
      <c r="L1064" s="3">
        <f t="shared" si="18"/>
        <v>0</v>
      </c>
    </row>
    <row r="1065" spans="12:12" x14ac:dyDescent="0.35">
      <c r="L1065" s="3">
        <f t="shared" si="18"/>
        <v>0</v>
      </c>
    </row>
    <row r="1066" spans="12:12" x14ac:dyDescent="0.35">
      <c r="L1066" s="3">
        <f t="shared" si="18"/>
        <v>0</v>
      </c>
    </row>
    <row r="1067" spans="12:12" x14ac:dyDescent="0.35">
      <c r="L1067" s="3">
        <f t="shared" si="18"/>
        <v>0</v>
      </c>
    </row>
    <row r="1068" spans="12:12" x14ac:dyDescent="0.35">
      <c r="L1068" s="3">
        <f t="shared" si="18"/>
        <v>0</v>
      </c>
    </row>
    <row r="1069" spans="12:12" x14ac:dyDescent="0.35">
      <c r="L1069" s="3">
        <f t="shared" si="18"/>
        <v>0</v>
      </c>
    </row>
    <row r="1070" spans="12:12" x14ac:dyDescent="0.35">
      <c r="L1070" s="3">
        <f t="shared" si="18"/>
        <v>0</v>
      </c>
    </row>
    <row r="1071" spans="12:12" x14ac:dyDescent="0.35">
      <c r="L1071" s="3">
        <f t="shared" si="18"/>
        <v>0</v>
      </c>
    </row>
    <row r="1072" spans="12:12" x14ac:dyDescent="0.35">
      <c r="L1072" s="3">
        <f t="shared" si="18"/>
        <v>0</v>
      </c>
    </row>
    <row r="1073" spans="12:12" x14ac:dyDescent="0.35">
      <c r="L1073" s="3">
        <f t="shared" si="18"/>
        <v>0</v>
      </c>
    </row>
    <row r="1074" spans="12:12" x14ac:dyDescent="0.35">
      <c r="L1074" s="3">
        <f t="shared" si="18"/>
        <v>0</v>
      </c>
    </row>
    <row r="1075" spans="12:12" x14ac:dyDescent="0.35">
      <c r="L1075" s="3">
        <f t="shared" si="18"/>
        <v>0</v>
      </c>
    </row>
    <row r="1076" spans="12:12" x14ac:dyDescent="0.35">
      <c r="L1076" s="3">
        <f t="shared" si="18"/>
        <v>0</v>
      </c>
    </row>
    <row r="1077" spans="12:12" x14ac:dyDescent="0.35">
      <c r="L1077" s="3">
        <f t="shared" si="18"/>
        <v>0</v>
      </c>
    </row>
    <row r="1078" spans="12:12" x14ac:dyDescent="0.35">
      <c r="L1078" s="3">
        <f t="shared" si="18"/>
        <v>0</v>
      </c>
    </row>
    <row r="1079" spans="12:12" x14ac:dyDescent="0.35">
      <c r="L1079" s="3">
        <f t="shared" si="18"/>
        <v>0</v>
      </c>
    </row>
    <row r="1080" spans="12:12" x14ac:dyDescent="0.35">
      <c r="L1080" s="3">
        <f t="shared" si="18"/>
        <v>0</v>
      </c>
    </row>
    <row r="1081" spans="12:12" x14ac:dyDescent="0.35">
      <c r="L1081" s="3">
        <f t="shared" si="18"/>
        <v>0</v>
      </c>
    </row>
    <row r="1082" spans="12:12" x14ac:dyDescent="0.35">
      <c r="L1082" s="3">
        <f t="shared" si="18"/>
        <v>0</v>
      </c>
    </row>
    <row r="1083" spans="12:12" x14ac:dyDescent="0.35">
      <c r="L1083" s="3">
        <f t="shared" ref="L1083:L1146" si="19">K1083*C1083</f>
        <v>0</v>
      </c>
    </row>
    <row r="1084" spans="12:12" x14ac:dyDescent="0.35">
      <c r="L1084" s="3">
        <f t="shared" si="19"/>
        <v>0</v>
      </c>
    </row>
    <row r="1085" spans="12:12" x14ac:dyDescent="0.35">
      <c r="L1085" s="3">
        <f t="shared" si="19"/>
        <v>0</v>
      </c>
    </row>
    <row r="1086" spans="12:12" x14ac:dyDescent="0.35">
      <c r="L1086" s="3">
        <f t="shared" si="19"/>
        <v>0</v>
      </c>
    </row>
    <row r="1087" spans="12:12" x14ac:dyDescent="0.35">
      <c r="L1087" s="3">
        <f t="shared" si="19"/>
        <v>0</v>
      </c>
    </row>
    <row r="1088" spans="12:12" x14ac:dyDescent="0.35">
      <c r="L1088" s="3">
        <f t="shared" si="19"/>
        <v>0</v>
      </c>
    </row>
    <row r="1089" spans="12:12" x14ac:dyDescent="0.35">
      <c r="L1089" s="3">
        <f t="shared" si="19"/>
        <v>0</v>
      </c>
    </row>
    <row r="1090" spans="12:12" x14ac:dyDescent="0.35">
      <c r="L1090" s="3">
        <f t="shared" si="19"/>
        <v>0</v>
      </c>
    </row>
    <row r="1091" spans="12:12" x14ac:dyDescent="0.35">
      <c r="L1091" s="3">
        <f t="shared" si="19"/>
        <v>0</v>
      </c>
    </row>
    <row r="1092" spans="12:12" x14ac:dyDescent="0.35">
      <c r="L1092" s="3">
        <f t="shared" si="19"/>
        <v>0</v>
      </c>
    </row>
    <row r="1093" spans="12:12" x14ac:dyDescent="0.35">
      <c r="L1093" s="3">
        <f t="shared" si="19"/>
        <v>0</v>
      </c>
    </row>
    <row r="1094" spans="12:12" x14ac:dyDescent="0.35">
      <c r="L1094" s="3">
        <f t="shared" si="19"/>
        <v>0</v>
      </c>
    </row>
    <row r="1095" spans="12:12" x14ac:dyDescent="0.35">
      <c r="L1095" s="3">
        <f t="shared" si="19"/>
        <v>0</v>
      </c>
    </row>
    <row r="1096" spans="12:12" x14ac:dyDescent="0.35">
      <c r="L1096" s="3">
        <f t="shared" si="19"/>
        <v>0</v>
      </c>
    </row>
    <row r="1097" spans="12:12" x14ac:dyDescent="0.35">
      <c r="L1097" s="3">
        <f t="shared" si="19"/>
        <v>0</v>
      </c>
    </row>
    <row r="1098" spans="12:12" x14ac:dyDescent="0.35">
      <c r="L1098" s="3">
        <f t="shared" si="19"/>
        <v>0</v>
      </c>
    </row>
    <row r="1099" spans="12:12" x14ac:dyDescent="0.35">
      <c r="L1099" s="3">
        <f t="shared" si="19"/>
        <v>0</v>
      </c>
    </row>
    <row r="1100" spans="12:12" x14ac:dyDescent="0.35">
      <c r="L1100" s="3">
        <f t="shared" si="19"/>
        <v>0</v>
      </c>
    </row>
    <row r="1101" spans="12:12" x14ac:dyDescent="0.35">
      <c r="L1101" s="3">
        <f t="shared" si="19"/>
        <v>0</v>
      </c>
    </row>
    <row r="1102" spans="12:12" x14ac:dyDescent="0.35">
      <c r="L1102" s="3">
        <f t="shared" si="19"/>
        <v>0</v>
      </c>
    </row>
    <row r="1103" spans="12:12" x14ac:dyDescent="0.35">
      <c r="L1103" s="3">
        <f t="shared" si="19"/>
        <v>0</v>
      </c>
    </row>
    <row r="1104" spans="12:12" x14ac:dyDescent="0.35">
      <c r="L1104" s="3">
        <f t="shared" si="19"/>
        <v>0</v>
      </c>
    </row>
    <row r="1105" spans="12:12" x14ac:dyDescent="0.35">
      <c r="L1105" s="3">
        <f t="shared" si="19"/>
        <v>0</v>
      </c>
    </row>
    <row r="1106" spans="12:12" x14ac:dyDescent="0.35">
      <c r="L1106" s="3">
        <f t="shared" si="19"/>
        <v>0</v>
      </c>
    </row>
    <row r="1107" spans="12:12" x14ac:dyDescent="0.35">
      <c r="L1107" s="3">
        <f t="shared" si="19"/>
        <v>0</v>
      </c>
    </row>
    <row r="1108" spans="12:12" x14ac:dyDescent="0.35">
      <c r="L1108" s="3">
        <f t="shared" si="19"/>
        <v>0</v>
      </c>
    </row>
    <row r="1109" spans="12:12" x14ac:dyDescent="0.35">
      <c r="L1109" s="3">
        <f t="shared" si="19"/>
        <v>0</v>
      </c>
    </row>
    <row r="1110" spans="12:12" x14ac:dyDescent="0.35">
      <c r="L1110" s="3">
        <f t="shared" si="19"/>
        <v>0</v>
      </c>
    </row>
    <row r="1111" spans="12:12" x14ac:dyDescent="0.35">
      <c r="L1111" s="3">
        <f t="shared" si="19"/>
        <v>0</v>
      </c>
    </row>
    <row r="1112" spans="12:12" x14ac:dyDescent="0.35">
      <c r="L1112" s="3">
        <f t="shared" si="19"/>
        <v>0</v>
      </c>
    </row>
    <row r="1113" spans="12:12" x14ac:dyDescent="0.35">
      <c r="L1113" s="3">
        <f t="shared" si="19"/>
        <v>0</v>
      </c>
    </row>
    <row r="1114" spans="12:12" x14ac:dyDescent="0.35">
      <c r="L1114" s="3">
        <f t="shared" si="19"/>
        <v>0</v>
      </c>
    </row>
    <row r="1115" spans="12:12" x14ac:dyDescent="0.35">
      <c r="L1115" s="3">
        <f t="shared" si="19"/>
        <v>0</v>
      </c>
    </row>
    <row r="1116" spans="12:12" x14ac:dyDescent="0.35">
      <c r="L1116" s="3">
        <f t="shared" si="19"/>
        <v>0</v>
      </c>
    </row>
    <row r="1117" spans="12:12" x14ac:dyDescent="0.35">
      <c r="L1117" s="3">
        <f t="shared" si="19"/>
        <v>0</v>
      </c>
    </row>
    <row r="1118" spans="12:12" x14ac:dyDescent="0.35">
      <c r="L1118" s="3">
        <f t="shared" si="19"/>
        <v>0</v>
      </c>
    </row>
    <row r="1119" spans="12:12" x14ac:dyDescent="0.35">
      <c r="L1119" s="3">
        <f t="shared" si="19"/>
        <v>0</v>
      </c>
    </row>
    <row r="1120" spans="12:12" x14ac:dyDescent="0.35">
      <c r="L1120" s="3">
        <f t="shared" si="19"/>
        <v>0</v>
      </c>
    </row>
    <row r="1121" spans="12:12" x14ac:dyDescent="0.35">
      <c r="L1121" s="3">
        <f t="shared" si="19"/>
        <v>0</v>
      </c>
    </row>
    <row r="1122" spans="12:12" x14ac:dyDescent="0.35">
      <c r="L1122" s="3">
        <f t="shared" si="19"/>
        <v>0</v>
      </c>
    </row>
    <row r="1123" spans="12:12" x14ac:dyDescent="0.35">
      <c r="L1123" s="3">
        <f t="shared" si="19"/>
        <v>0</v>
      </c>
    </row>
    <row r="1124" spans="12:12" x14ac:dyDescent="0.35">
      <c r="L1124" s="3">
        <f t="shared" si="19"/>
        <v>0</v>
      </c>
    </row>
    <row r="1125" spans="12:12" x14ac:dyDescent="0.35">
      <c r="L1125" s="3">
        <f t="shared" si="19"/>
        <v>0</v>
      </c>
    </row>
    <row r="1126" spans="12:12" x14ac:dyDescent="0.35">
      <c r="L1126" s="3">
        <f t="shared" si="19"/>
        <v>0</v>
      </c>
    </row>
    <row r="1127" spans="12:12" x14ac:dyDescent="0.35">
      <c r="L1127" s="3">
        <f t="shared" si="19"/>
        <v>0</v>
      </c>
    </row>
    <row r="1128" spans="12:12" x14ac:dyDescent="0.35">
      <c r="L1128" s="3">
        <f t="shared" si="19"/>
        <v>0</v>
      </c>
    </row>
    <row r="1129" spans="12:12" x14ac:dyDescent="0.35">
      <c r="L1129" s="3">
        <f t="shared" si="19"/>
        <v>0</v>
      </c>
    </row>
    <row r="1130" spans="12:12" x14ac:dyDescent="0.35">
      <c r="L1130" s="3">
        <f t="shared" si="19"/>
        <v>0</v>
      </c>
    </row>
    <row r="1131" spans="12:12" x14ac:dyDescent="0.35">
      <c r="L1131" s="3">
        <f t="shared" si="19"/>
        <v>0</v>
      </c>
    </row>
    <row r="1132" spans="12:12" x14ac:dyDescent="0.35">
      <c r="L1132" s="3">
        <f t="shared" si="19"/>
        <v>0</v>
      </c>
    </row>
    <row r="1133" spans="12:12" x14ac:dyDescent="0.35">
      <c r="L1133" s="3">
        <f t="shared" si="19"/>
        <v>0</v>
      </c>
    </row>
    <row r="1134" spans="12:12" x14ac:dyDescent="0.35">
      <c r="L1134" s="3">
        <f t="shared" si="19"/>
        <v>0</v>
      </c>
    </row>
    <row r="1135" spans="12:12" x14ac:dyDescent="0.35">
      <c r="L1135" s="3">
        <f t="shared" si="19"/>
        <v>0</v>
      </c>
    </row>
    <row r="1136" spans="12:12" x14ac:dyDescent="0.35">
      <c r="L1136" s="3">
        <f t="shared" si="19"/>
        <v>0</v>
      </c>
    </row>
    <row r="1137" spans="12:12" x14ac:dyDescent="0.35">
      <c r="L1137" s="3">
        <f t="shared" si="19"/>
        <v>0</v>
      </c>
    </row>
    <row r="1138" spans="12:12" x14ac:dyDescent="0.35">
      <c r="L1138" s="3">
        <f t="shared" si="19"/>
        <v>0</v>
      </c>
    </row>
    <row r="1139" spans="12:12" x14ac:dyDescent="0.35">
      <c r="L1139" s="3">
        <f t="shared" si="19"/>
        <v>0</v>
      </c>
    </row>
    <row r="1140" spans="12:12" x14ac:dyDescent="0.35">
      <c r="L1140" s="3">
        <f t="shared" si="19"/>
        <v>0</v>
      </c>
    </row>
    <row r="1141" spans="12:12" x14ac:dyDescent="0.35">
      <c r="L1141" s="3">
        <f t="shared" si="19"/>
        <v>0</v>
      </c>
    </row>
    <row r="1142" spans="12:12" x14ac:dyDescent="0.35">
      <c r="L1142" s="3">
        <f t="shared" si="19"/>
        <v>0</v>
      </c>
    </row>
    <row r="1143" spans="12:12" x14ac:dyDescent="0.35">
      <c r="L1143" s="3">
        <f t="shared" si="19"/>
        <v>0</v>
      </c>
    </row>
    <row r="1144" spans="12:12" x14ac:dyDescent="0.35">
      <c r="L1144" s="3">
        <f t="shared" si="19"/>
        <v>0</v>
      </c>
    </row>
    <row r="1145" spans="12:12" x14ac:dyDescent="0.35">
      <c r="L1145" s="3">
        <f t="shared" si="19"/>
        <v>0</v>
      </c>
    </row>
    <row r="1146" spans="12:12" x14ac:dyDescent="0.35">
      <c r="L1146" s="3">
        <f t="shared" si="19"/>
        <v>0</v>
      </c>
    </row>
    <row r="1147" spans="12:12" x14ac:dyDescent="0.35">
      <c r="L1147" s="3">
        <f t="shared" ref="L1147:L1210" si="20">K1147*C1147</f>
        <v>0</v>
      </c>
    </row>
    <row r="1148" spans="12:12" x14ac:dyDescent="0.35">
      <c r="L1148" s="3">
        <f t="shared" si="20"/>
        <v>0</v>
      </c>
    </row>
    <row r="1149" spans="12:12" x14ac:dyDescent="0.35">
      <c r="L1149" s="3">
        <f t="shared" si="20"/>
        <v>0</v>
      </c>
    </row>
    <row r="1150" spans="12:12" x14ac:dyDescent="0.35">
      <c r="L1150" s="3">
        <f t="shared" si="20"/>
        <v>0</v>
      </c>
    </row>
    <row r="1151" spans="12:12" x14ac:dyDescent="0.35">
      <c r="L1151" s="3">
        <f t="shared" si="20"/>
        <v>0</v>
      </c>
    </row>
    <row r="1152" spans="12:12" x14ac:dyDescent="0.35">
      <c r="L1152" s="3">
        <f t="shared" si="20"/>
        <v>0</v>
      </c>
    </row>
    <row r="1153" spans="12:12" x14ac:dyDescent="0.35">
      <c r="L1153" s="3">
        <f t="shared" si="20"/>
        <v>0</v>
      </c>
    </row>
    <row r="1154" spans="12:12" x14ac:dyDescent="0.35">
      <c r="L1154" s="3">
        <f t="shared" si="20"/>
        <v>0</v>
      </c>
    </row>
    <row r="1155" spans="12:12" x14ac:dyDescent="0.35">
      <c r="L1155" s="3">
        <f t="shared" si="20"/>
        <v>0</v>
      </c>
    </row>
    <row r="1156" spans="12:12" x14ac:dyDescent="0.35">
      <c r="L1156" s="3">
        <f t="shared" si="20"/>
        <v>0</v>
      </c>
    </row>
    <row r="1157" spans="12:12" x14ac:dyDescent="0.35">
      <c r="L1157" s="3">
        <f t="shared" si="20"/>
        <v>0</v>
      </c>
    </row>
    <row r="1158" spans="12:12" x14ac:dyDescent="0.35">
      <c r="L1158" s="3">
        <f t="shared" si="20"/>
        <v>0</v>
      </c>
    </row>
    <row r="1159" spans="12:12" x14ac:dyDescent="0.35">
      <c r="L1159" s="3">
        <f t="shared" si="20"/>
        <v>0</v>
      </c>
    </row>
    <row r="1160" spans="12:12" x14ac:dyDescent="0.35">
      <c r="L1160" s="3">
        <f t="shared" si="20"/>
        <v>0</v>
      </c>
    </row>
    <row r="1161" spans="12:12" x14ac:dyDescent="0.35">
      <c r="L1161" s="3">
        <f t="shared" si="20"/>
        <v>0</v>
      </c>
    </row>
    <row r="1162" spans="12:12" x14ac:dyDescent="0.35">
      <c r="L1162" s="3">
        <f t="shared" si="20"/>
        <v>0</v>
      </c>
    </row>
    <row r="1163" spans="12:12" x14ac:dyDescent="0.35">
      <c r="L1163" s="3">
        <f t="shared" si="20"/>
        <v>0</v>
      </c>
    </row>
    <row r="1164" spans="12:12" x14ac:dyDescent="0.35">
      <c r="L1164" s="3">
        <f t="shared" si="20"/>
        <v>0</v>
      </c>
    </row>
    <row r="1165" spans="12:12" x14ac:dyDescent="0.35">
      <c r="L1165" s="3">
        <f t="shared" si="20"/>
        <v>0</v>
      </c>
    </row>
    <row r="1166" spans="12:12" x14ac:dyDescent="0.35">
      <c r="L1166" s="3">
        <f t="shared" si="20"/>
        <v>0</v>
      </c>
    </row>
    <row r="1167" spans="12:12" x14ac:dyDescent="0.35">
      <c r="L1167" s="3">
        <f t="shared" si="20"/>
        <v>0</v>
      </c>
    </row>
    <row r="1168" spans="12:12" x14ac:dyDescent="0.35">
      <c r="L1168" s="3">
        <f t="shared" si="20"/>
        <v>0</v>
      </c>
    </row>
    <row r="1169" spans="12:12" x14ac:dyDescent="0.35">
      <c r="L1169" s="3">
        <f t="shared" si="20"/>
        <v>0</v>
      </c>
    </row>
    <row r="1170" spans="12:12" x14ac:dyDescent="0.35">
      <c r="L1170" s="3">
        <f t="shared" si="20"/>
        <v>0</v>
      </c>
    </row>
    <row r="1171" spans="12:12" x14ac:dyDescent="0.35">
      <c r="L1171" s="3">
        <f t="shared" si="20"/>
        <v>0</v>
      </c>
    </row>
    <row r="1172" spans="12:12" x14ac:dyDescent="0.35">
      <c r="L1172" s="3">
        <f t="shared" si="20"/>
        <v>0</v>
      </c>
    </row>
    <row r="1173" spans="12:12" x14ac:dyDescent="0.35">
      <c r="L1173" s="3">
        <f t="shared" si="20"/>
        <v>0</v>
      </c>
    </row>
    <row r="1174" spans="12:12" x14ac:dyDescent="0.35">
      <c r="L1174" s="3">
        <f t="shared" si="20"/>
        <v>0</v>
      </c>
    </row>
    <row r="1175" spans="12:12" x14ac:dyDescent="0.35">
      <c r="L1175" s="3">
        <f t="shared" si="20"/>
        <v>0</v>
      </c>
    </row>
    <row r="1176" spans="12:12" x14ac:dyDescent="0.35">
      <c r="L1176" s="3">
        <f t="shared" si="20"/>
        <v>0</v>
      </c>
    </row>
    <row r="1177" spans="12:12" x14ac:dyDescent="0.35">
      <c r="L1177" s="3">
        <f t="shared" si="20"/>
        <v>0</v>
      </c>
    </row>
    <row r="1178" spans="12:12" x14ac:dyDescent="0.35">
      <c r="L1178" s="3">
        <f t="shared" si="20"/>
        <v>0</v>
      </c>
    </row>
    <row r="1179" spans="12:12" x14ac:dyDescent="0.35">
      <c r="L1179" s="3">
        <f t="shared" si="20"/>
        <v>0</v>
      </c>
    </row>
    <row r="1180" spans="12:12" x14ac:dyDescent="0.35">
      <c r="L1180" s="3">
        <f t="shared" si="20"/>
        <v>0</v>
      </c>
    </row>
    <row r="1181" spans="12:12" x14ac:dyDescent="0.35">
      <c r="L1181" s="3">
        <f t="shared" si="20"/>
        <v>0</v>
      </c>
    </row>
    <row r="1182" spans="12:12" x14ac:dyDescent="0.35">
      <c r="L1182" s="3">
        <f t="shared" si="20"/>
        <v>0</v>
      </c>
    </row>
    <row r="1183" spans="12:12" x14ac:dyDescent="0.35">
      <c r="L1183" s="3">
        <f t="shared" si="20"/>
        <v>0</v>
      </c>
    </row>
    <row r="1184" spans="12:12" x14ac:dyDescent="0.35">
      <c r="L1184" s="3">
        <f t="shared" si="20"/>
        <v>0</v>
      </c>
    </row>
    <row r="1185" spans="12:12" x14ac:dyDescent="0.35">
      <c r="L1185" s="3">
        <f t="shared" si="20"/>
        <v>0</v>
      </c>
    </row>
    <row r="1186" spans="12:12" x14ac:dyDescent="0.35">
      <c r="L1186" s="3">
        <f t="shared" si="20"/>
        <v>0</v>
      </c>
    </row>
    <row r="1187" spans="12:12" x14ac:dyDescent="0.35">
      <c r="L1187" s="3">
        <f t="shared" si="20"/>
        <v>0</v>
      </c>
    </row>
    <row r="1188" spans="12:12" x14ac:dyDescent="0.35">
      <c r="L1188" s="3">
        <f t="shared" si="20"/>
        <v>0</v>
      </c>
    </row>
    <row r="1189" spans="12:12" x14ac:dyDescent="0.35">
      <c r="L1189" s="3">
        <f t="shared" si="20"/>
        <v>0</v>
      </c>
    </row>
    <row r="1190" spans="12:12" x14ac:dyDescent="0.35">
      <c r="L1190" s="3">
        <f t="shared" si="20"/>
        <v>0</v>
      </c>
    </row>
    <row r="1191" spans="12:12" x14ac:dyDescent="0.35">
      <c r="L1191" s="3">
        <f t="shared" si="20"/>
        <v>0</v>
      </c>
    </row>
    <row r="1192" spans="12:12" x14ac:dyDescent="0.35">
      <c r="L1192" s="3">
        <f t="shared" si="20"/>
        <v>0</v>
      </c>
    </row>
    <row r="1193" spans="12:12" x14ac:dyDescent="0.35">
      <c r="L1193" s="3">
        <f t="shared" si="20"/>
        <v>0</v>
      </c>
    </row>
    <row r="1194" spans="12:12" x14ac:dyDescent="0.35">
      <c r="L1194" s="3">
        <f t="shared" si="20"/>
        <v>0</v>
      </c>
    </row>
    <row r="1195" spans="12:12" x14ac:dyDescent="0.35">
      <c r="L1195" s="3">
        <f t="shared" si="20"/>
        <v>0</v>
      </c>
    </row>
    <row r="1196" spans="12:12" x14ac:dyDescent="0.35">
      <c r="L1196" s="3">
        <f t="shared" si="20"/>
        <v>0</v>
      </c>
    </row>
    <row r="1197" spans="12:12" x14ac:dyDescent="0.35">
      <c r="L1197" s="3">
        <f t="shared" si="20"/>
        <v>0</v>
      </c>
    </row>
    <row r="1198" spans="12:12" x14ac:dyDescent="0.35">
      <c r="L1198" s="3">
        <f t="shared" si="20"/>
        <v>0</v>
      </c>
    </row>
    <row r="1199" spans="12:12" x14ac:dyDescent="0.35">
      <c r="L1199" s="3">
        <f t="shared" si="20"/>
        <v>0</v>
      </c>
    </row>
    <row r="1200" spans="12:12" x14ac:dyDescent="0.35">
      <c r="L1200" s="3">
        <f t="shared" si="20"/>
        <v>0</v>
      </c>
    </row>
    <row r="1201" spans="12:12" x14ac:dyDescent="0.35">
      <c r="L1201" s="3">
        <f t="shared" si="20"/>
        <v>0</v>
      </c>
    </row>
    <row r="1202" spans="12:12" x14ac:dyDescent="0.35">
      <c r="L1202" s="3">
        <f t="shared" si="20"/>
        <v>0</v>
      </c>
    </row>
    <row r="1203" spans="12:12" x14ac:dyDescent="0.35">
      <c r="L1203" s="3">
        <f t="shared" si="20"/>
        <v>0</v>
      </c>
    </row>
    <row r="1204" spans="12:12" x14ac:dyDescent="0.35">
      <c r="L1204" s="3">
        <f t="shared" si="20"/>
        <v>0</v>
      </c>
    </row>
    <row r="1205" spans="12:12" x14ac:dyDescent="0.35">
      <c r="L1205" s="3">
        <f t="shared" si="20"/>
        <v>0</v>
      </c>
    </row>
    <row r="1206" spans="12:12" x14ac:dyDescent="0.35">
      <c r="L1206" s="3">
        <f t="shared" si="20"/>
        <v>0</v>
      </c>
    </row>
    <row r="1207" spans="12:12" x14ac:dyDescent="0.35">
      <c r="L1207" s="3">
        <f t="shared" si="20"/>
        <v>0</v>
      </c>
    </row>
    <row r="1208" spans="12:12" x14ac:dyDescent="0.35">
      <c r="L1208" s="3">
        <f t="shared" si="20"/>
        <v>0</v>
      </c>
    </row>
    <row r="1209" spans="12:12" x14ac:dyDescent="0.35">
      <c r="L1209" s="3">
        <f t="shared" si="20"/>
        <v>0</v>
      </c>
    </row>
    <row r="1210" spans="12:12" x14ac:dyDescent="0.35">
      <c r="L1210" s="3">
        <f t="shared" si="20"/>
        <v>0</v>
      </c>
    </row>
    <row r="1211" spans="12:12" x14ac:dyDescent="0.35">
      <c r="L1211" s="3">
        <f t="shared" ref="L1211:L1274" si="21">K1211*C1211</f>
        <v>0</v>
      </c>
    </row>
    <row r="1212" spans="12:12" x14ac:dyDescent="0.35">
      <c r="L1212" s="3">
        <f t="shared" si="21"/>
        <v>0</v>
      </c>
    </row>
    <row r="1213" spans="12:12" x14ac:dyDescent="0.35">
      <c r="L1213" s="3">
        <f t="shared" si="21"/>
        <v>0</v>
      </c>
    </row>
    <row r="1214" spans="12:12" x14ac:dyDescent="0.35">
      <c r="L1214" s="3">
        <f t="shared" si="21"/>
        <v>0</v>
      </c>
    </row>
    <row r="1215" spans="12:12" x14ac:dyDescent="0.35">
      <c r="L1215" s="3">
        <f t="shared" si="21"/>
        <v>0</v>
      </c>
    </row>
    <row r="1216" spans="12:12" x14ac:dyDescent="0.35">
      <c r="L1216" s="3">
        <f t="shared" si="21"/>
        <v>0</v>
      </c>
    </row>
    <row r="1217" spans="12:12" x14ac:dyDescent="0.35">
      <c r="L1217" s="3">
        <f t="shared" si="21"/>
        <v>0</v>
      </c>
    </row>
    <row r="1218" spans="12:12" x14ac:dyDescent="0.35">
      <c r="L1218" s="3">
        <f t="shared" si="21"/>
        <v>0</v>
      </c>
    </row>
    <row r="1219" spans="12:12" x14ac:dyDescent="0.35">
      <c r="L1219" s="3">
        <f t="shared" si="21"/>
        <v>0</v>
      </c>
    </row>
    <row r="1220" spans="12:12" x14ac:dyDescent="0.35">
      <c r="L1220" s="3">
        <f t="shared" si="21"/>
        <v>0</v>
      </c>
    </row>
    <row r="1221" spans="12:12" x14ac:dyDescent="0.35">
      <c r="L1221" s="3">
        <f t="shared" si="21"/>
        <v>0</v>
      </c>
    </row>
    <row r="1222" spans="12:12" x14ac:dyDescent="0.35">
      <c r="L1222" s="3">
        <f t="shared" si="21"/>
        <v>0</v>
      </c>
    </row>
    <row r="1223" spans="12:12" x14ac:dyDescent="0.35">
      <c r="L1223" s="3">
        <f t="shared" si="21"/>
        <v>0</v>
      </c>
    </row>
    <row r="1224" spans="12:12" x14ac:dyDescent="0.35">
      <c r="L1224" s="3">
        <f t="shared" si="21"/>
        <v>0</v>
      </c>
    </row>
    <row r="1225" spans="12:12" x14ac:dyDescent="0.35">
      <c r="L1225" s="3">
        <f t="shared" si="21"/>
        <v>0</v>
      </c>
    </row>
    <row r="1226" spans="12:12" x14ac:dyDescent="0.35">
      <c r="L1226" s="3">
        <f t="shared" si="21"/>
        <v>0</v>
      </c>
    </row>
    <row r="1227" spans="12:12" x14ac:dyDescent="0.35">
      <c r="L1227" s="3">
        <f t="shared" si="21"/>
        <v>0</v>
      </c>
    </row>
    <row r="1228" spans="12:12" x14ac:dyDescent="0.35">
      <c r="L1228" s="3">
        <f t="shared" si="21"/>
        <v>0</v>
      </c>
    </row>
    <row r="1229" spans="12:12" x14ac:dyDescent="0.35">
      <c r="L1229" s="3">
        <f t="shared" si="21"/>
        <v>0</v>
      </c>
    </row>
    <row r="1230" spans="12:12" x14ac:dyDescent="0.35">
      <c r="L1230" s="3">
        <f t="shared" si="21"/>
        <v>0</v>
      </c>
    </row>
    <row r="1231" spans="12:12" x14ac:dyDescent="0.35">
      <c r="L1231" s="3">
        <f t="shared" si="21"/>
        <v>0</v>
      </c>
    </row>
    <row r="1232" spans="12:12" x14ac:dyDescent="0.35">
      <c r="L1232" s="3">
        <f t="shared" si="21"/>
        <v>0</v>
      </c>
    </row>
    <row r="1233" spans="12:12" x14ac:dyDescent="0.35">
      <c r="L1233" s="3">
        <f t="shared" si="21"/>
        <v>0</v>
      </c>
    </row>
    <row r="1234" spans="12:12" x14ac:dyDescent="0.35">
      <c r="L1234" s="3">
        <f t="shared" si="21"/>
        <v>0</v>
      </c>
    </row>
    <row r="1235" spans="12:12" x14ac:dyDescent="0.35">
      <c r="L1235" s="3">
        <f t="shared" si="21"/>
        <v>0</v>
      </c>
    </row>
    <row r="1236" spans="12:12" x14ac:dyDescent="0.35">
      <c r="L1236" s="3">
        <f t="shared" si="21"/>
        <v>0</v>
      </c>
    </row>
    <row r="1237" spans="12:12" x14ac:dyDescent="0.35">
      <c r="L1237" s="3">
        <f t="shared" si="21"/>
        <v>0</v>
      </c>
    </row>
    <row r="1238" spans="12:12" x14ac:dyDescent="0.35">
      <c r="L1238" s="3">
        <f t="shared" si="21"/>
        <v>0</v>
      </c>
    </row>
    <row r="1239" spans="12:12" x14ac:dyDescent="0.35">
      <c r="L1239" s="3">
        <f t="shared" si="21"/>
        <v>0</v>
      </c>
    </row>
    <row r="1240" spans="12:12" x14ac:dyDescent="0.35">
      <c r="L1240" s="3">
        <f t="shared" si="21"/>
        <v>0</v>
      </c>
    </row>
    <row r="1241" spans="12:12" x14ac:dyDescent="0.35">
      <c r="L1241" s="3">
        <f t="shared" si="21"/>
        <v>0</v>
      </c>
    </row>
    <row r="1242" spans="12:12" x14ac:dyDescent="0.35">
      <c r="L1242" s="3">
        <f t="shared" si="21"/>
        <v>0</v>
      </c>
    </row>
    <row r="1243" spans="12:12" x14ac:dyDescent="0.35">
      <c r="L1243" s="3">
        <f t="shared" si="21"/>
        <v>0</v>
      </c>
    </row>
    <row r="1244" spans="12:12" x14ac:dyDescent="0.35">
      <c r="L1244" s="3">
        <f t="shared" si="21"/>
        <v>0</v>
      </c>
    </row>
    <row r="1245" spans="12:12" x14ac:dyDescent="0.35">
      <c r="L1245" s="3">
        <f t="shared" si="21"/>
        <v>0</v>
      </c>
    </row>
    <row r="1246" spans="12:12" x14ac:dyDescent="0.35">
      <c r="L1246" s="3">
        <f t="shared" si="21"/>
        <v>0</v>
      </c>
    </row>
    <row r="1247" spans="12:12" x14ac:dyDescent="0.35">
      <c r="L1247" s="3">
        <f t="shared" si="21"/>
        <v>0</v>
      </c>
    </row>
    <row r="1248" spans="12:12" x14ac:dyDescent="0.35">
      <c r="L1248" s="3">
        <f t="shared" si="21"/>
        <v>0</v>
      </c>
    </row>
    <row r="1249" spans="12:12" x14ac:dyDescent="0.35">
      <c r="L1249" s="3">
        <f t="shared" si="21"/>
        <v>0</v>
      </c>
    </row>
    <row r="1250" spans="12:12" x14ac:dyDescent="0.35">
      <c r="L1250" s="3">
        <f t="shared" si="21"/>
        <v>0</v>
      </c>
    </row>
    <row r="1251" spans="12:12" x14ac:dyDescent="0.35">
      <c r="L1251" s="3">
        <f t="shared" si="21"/>
        <v>0</v>
      </c>
    </row>
    <row r="1252" spans="12:12" x14ac:dyDescent="0.35">
      <c r="L1252" s="3">
        <f t="shared" si="21"/>
        <v>0</v>
      </c>
    </row>
    <row r="1253" spans="12:12" x14ac:dyDescent="0.35">
      <c r="L1253" s="3">
        <f t="shared" si="21"/>
        <v>0</v>
      </c>
    </row>
    <row r="1254" spans="12:12" x14ac:dyDescent="0.35">
      <c r="L1254" s="3">
        <f t="shared" si="21"/>
        <v>0</v>
      </c>
    </row>
    <row r="1255" spans="12:12" x14ac:dyDescent="0.35">
      <c r="L1255" s="3">
        <f t="shared" si="21"/>
        <v>0</v>
      </c>
    </row>
    <row r="1256" spans="12:12" x14ac:dyDescent="0.35">
      <c r="L1256" s="3">
        <f t="shared" si="21"/>
        <v>0</v>
      </c>
    </row>
    <row r="1257" spans="12:12" x14ac:dyDescent="0.35">
      <c r="L1257" s="3">
        <f t="shared" si="21"/>
        <v>0</v>
      </c>
    </row>
    <row r="1258" spans="12:12" x14ac:dyDescent="0.35">
      <c r="L1258" s="3">
        <f t="shared" si="21"/>
        <v>0</v>
      </c>
    </row>
    <row r="1259" spans="12:12" x14ac:dyDescent="0.35">
      <c r="L1259" s="3">
        <f t="shared" si="21"/>
        <v>0</v>
      </c>
    </row>
    <row r="1260" spans="12:12" x14ac:dyDescent="0.35">
      <c r="L1260" s="3">
        <f t="shared" si="21"/>
        <v>0</v>
      </c>
    </row>
    <row r="1261" spans="12:12" x14ac:dyDescent="0.35">
      <c r="L1261" s="3">
        <f t="shared" si="21"/>
        <v>0</v>
      </c>
    </row>
    <row r="1262" spans="12:12" x14ac:dyDescent="0.35">
      <c r="L1262" s="3">
        <f t="shared" si="21"/>
        <v>0</v>
      </c>
    </row>
    <row r="1263" spans="12:12" x14ac:dyDescent="0.35">
      <c r="L1263" s="3">
        <f t="shared" si="21"/>
        <v>0</v>
      </c>
    </row>
    <row r="1264" spans="12:12" x14ac:dyDescent="0.35">
      <c r="L1264" s="3">
        <f t="shared" si="21"/>
        <v>0</v>
      </c>
    </row>
    <row r="1265" spans="12:12" x14ac:dyDescent="0.35">
      <c r="L1265" s="3">
        <f t="shared" si="21"/>
        <v>0</v>
      </c>
    </row>
    <row r="1266" spans="12:12" x14ac:dyDescent="0.35">
      <c r="L1266" s="3">
        <f t="shared" si="21"/>
        <v>0</v>
      </c>
    </row>
    <row r="1267" spans="12:12" x14ac:dyDescent="0.35">
      <c r="L1267" s="3">
        <f t="shared" si="21"/>
        <v>0</v>
      </c>
    </row>
    <row r="1268" spans="12:12" x14ac:dyDescent="0.35">
      <c r="L1268" s="3">
        <f t="shared" si="21"/>
        <v>0</v>
      </c>
    </row>
    <row r="1269" spans="12:12" x14ac:dyDescent="0.35">
      <c r="L1269" s="3">
        <f t="shared" si="21"/>
        <v>0</v>
      </c>
    </row>
    <row r="1270" spans="12:12" x14ac:dyDescent="0.35">
      <c r="L1270" s="3">
        <f t="shared" si="21"/>
        <v>0</v>
      </c>
    </row>
    <row r="1271" spans="12:12" x14ac:dyDescent="0.35">
      <c r="L1271" s="3">
        <f t="shared" si="21"/>
        <v>0</v>
      </c>
    </row>
    <row r="1272" spans="12:12" x14ac:dyDescent="0.35">
      <c r="L1272" s="3">
        <f t="shared" si="21"/>
        <v>0</v>
      </c>
    </row>
    <row r="1273" spans="12:12" x14ac:dyDescent="0.35">
      <c r="L1273" s="3">
        <f t="shared" si="21"/>
        <v>0</v>
      </c>
    </row>
    <row r="1274" spans="12:12" x14ac:dyDescent="0.35">
      <c r="L1274" s="3">
        <f t="shared" si="21"/>
        <v>0</v>
      </c>
    </row>
    <row r="1275" spans="12:12" x14ac:dyDescent="0.35">
      <c r="L1275" s="3">
        <f t="shared" ref="L1275:L1338" si="22">K1275*C1275</f>
        <v>0</v>
      </c>
    </row>
    <row r="1276" spans="12:12" x14ac:dyDescent="0.35">
      <c r="L1276" s="3">
        <f t="shared" si="22"/>
        <v>0</v>
      </c>
    </row>
    <row r="1277" spans="12:12" x14ac:dyDescent="0.35">
      <c r="L1277" s="3">
        <f t="shared" si="22"/>
        <v>0</v>
      </c>
    </row>
    <row r="1278" spans="12:12" x14ac:dyDescent="0.35">
      <c r="L1278" s="3">
        <f t="shared" si="22"/>
        <v>0</v>
      </c>
    </row>
    <row r="1279" spans="12:12" x14ac:dyDescent="0.35">
      <c r="L1279" s="3">
        <f t="shared" si="22"/>
        <v>0</v>
      </c>
    </row>
    <row r="1280" spans="12:12" x14ac:dyDescent="0.35">
      <c r="L1280" s="3">
        <f t="shared" si="22"/>
        <v>0</v>
      </c>
    </row>
    <row r="1281" spans="12:12" x14ac:dyDescent="0.35">
      <c r="L1281" s="3">
        <f t="shared" si="22"/>
        <v>0</v>
      </c>
    </row>
    <row r="1282" spans="12:12" x14ac:dyDescent="0.35">
      <c r="L1282" s="3">
        <f t="shared" si="22"/>
        <v>0</v>
      </c>
    </row>
    <row r="1283" spans="12:12" x14ac:dyDescent="0.35">
      <c r="L1283" s="3">
        <f t="shared" si="22"/>
        <v>0</v>
      </c>
    </row>
    <row r="1284" spans="12:12" x14ac:dyDescent="0.35">
      <c r="L1284" s="3">
        <f t="shared" si="22"/>
        <v>0</v>
      </c>
    </row>
    <row r="1285" spans="12:12" x14ac:dyDescent="0.35">
      <c r="L1285" s="3">
        <f t="shared" si="22"/>
        <v>0</v>
      </c>
    </row>
    <row r="1286" spans="12:12" x14ac:dyDescent="0.35">
      <c r="L1286" s="3">
        <f t="shared" si="22"/>
        <v>0</v>
      </c>
    </row>
    <row r="1287" spans="12:12" x14ac:dyDescent="0.35">
      <c r="L1287" s="3">
        <f t="shared" si="22"/>
        <v>0</v>
      </c>
    </row>
    <row r="1288" spans="12:12" x14ac:dyDescent="0.35">
      <c r="L1288" s="3">
        <f t="shared" si="22"/>
        <v>0</v>
      </c>
    </row>
    <row r="1289" spans="12:12" x14ac:dyDescent="0.35">
      <c r="L1289" s="3">
        <f t="shared" si="22"/>
        <v>0</v>
      </c>
    </row>
    <row r="1290" spans="12:12" x14ac:dyDescent="0.35">
      <c r="L1290" s="3">
        <f t="shared" si="22"/>
        <v>0</v>
      </c>
    </row>
    <row r="1291" spans="12:12" x14ac:dyDescent="0.35">
      <c r="L1291" s="3">
        <f t="shared" si="22"/>
        <v>0</v>
      </c>
    </row>
    <row r="1292" spans="12:12" x14ac:dyDescent="0.35">
      <c r="L1292" s="3">
        <f t="shared" si="22"/>
        <v>0</v>
      </c>
    </row>
    <row r="1293" spans="12:12" x14ac:dyDescent="0.35">
      <c r="L1293" s="3">
        <f t="shared" si="22"/>
        <v>0</v>
      </c>
    </row>
    <row r="1294" spans="12:12" x14ac:dyDescent="0.35">
      <c r="L1294" s="3">
        <f t="shared" si="22"/>
        <v>0</v>
      </c>
    </row>
    <row r="1295" spans="12:12" x14ac:dyDescent="0.35">
      <c r="L1295" s="3">
        <f t="shared" si="22"/>
        <v>0</v>
      </c>
    </row>
    <row r="1296" spans="12:12" x14ac:dyDescent="0.35">
      <c r="L1296" s="3">
        <f t="shared" si="22"/>
        <v>0</v>
      </c>
    </row>
    <row r="1297" spans="12:12" x14ac:dyDescent="0.35">
      <c r="L1297" s="3">
        <f t="shared" si="22"/>
        <v>0</v>
      </c>
    </row>
    <row r="1298" spans="12:12" x14ac:dyDescent="0.35">
      <c r="L1298" s="3">
        <f t="shared" si="22"/>
        <v>0</v>
      </c>
    </row>
    <row r="1299" spans="12:12" x14ac:dyDescent="0.35">
      <c r="L1299" s="3">
        <f t="shared" si="22"/>
        <v>0</v>
      </c>
    </row>
    <row r="1300" spans="12:12" x14ac:dyDescent="0.35">
      <c r="L1300" s="3">
        <f t="shared" si="22"/>
        <v>0</v>
      </c>
    </row>
    <row r="1301" spans="12:12" x14ac:dyDescent="0.35">
      <c r="L1301" s="3">
        <f t="shared" si="22"/>
        <v>0</v>
      </c>
    </row>
    <row r="1302" spans="12:12" x14ac:dyDescent="0.35">
      <c r="L1302" s="3">
        <f t="shared" si="22"/>
        <v>0</v>
      </c>
    </row>
    <row r="1303" spans="12:12" x14ac:dyDescent="0.35">
      <c r="L1303" s="3">
        <f t="shared" si="22"/>
        <v>0</v>
      </c>
    </row>
    <row r="1304" spans="12:12" x14ac:dyDescent="0.35">
      <c r="L1304" s="3">
        <f t="shared" si="22"/>
        <v>0</v>
      </c>
    </row>
    <row r="1305" spans="12:12" x14ac:dyDescent="0.35">
      <c r="L1305" s="3">
        <f t="shared" si="22"/>
        <v>0</v>
      </c>
    </row>
    <row r="1306" spans="12:12" x14ac:dyDescent="0.35">
      <c r="L1306" s="3">
        <f t="shared" si="22"/>
        <v>0</v>
      </c>
    </row>
    <row r="1307" spans="12:12" x14ac:dyDescent="0.35">
      <c r="L1307" s="3">
        <f t="shared" si="22"/>
        <v>0</v>
      </c>
    </row>
    <row r="1308" spans="12:12" x14ac:dyDescent="0.35">
      <c r="L1308" s="3">
        <f t="shared" si="22"/>
        <v>0</v>
      </c>
    </row>
    <row r="1309" spans="12:12" x14ac:dyDescent="0.35">
      <c r="L1309" s="3">
        <f t="shared" si="22"/>
        <v>0</v>
      </c>
    </row>
    <row r="1310" spans="12:12" x14ac:dyDescent="0.35">
      <c r="L1310" s="3">
        <f t="shared" si="22"/>
        <v>0</v>
      </c>
    </row>
    <row r="1311" spans="12:12" x14ac:dyDescent="0.35">
      <c r="L1311" s="3">
        <f t="shared" si="22"/>
        <v>0</v>
      </c>
    </row>
    <row r="1312" spans="12:12" x14ac:dyDescent="0.35">
      <c r="L1312" s="3">
        <f t="shared" si="22"/>
        <v>0</v>
      </c>
    </row>
    <row r="1313" spans="12:12" x14ac:dyDescent="0.35">
      <c r="L1313" s="3">
        <f t="shared" si="22"/>
        <v>0</v>
      </c>
    </row>
    <row r="1314" spans="12:12" x14ac:dyDescent="0.35">
      <c r="L1314" s="3">
        <f t="shared" si="22"/>
        <v>0</v>
      </c>
    </row>
    <row r="1315" spans="12:12" x14ac:dyDescent="0.35">
      <c r="L1315" s="3">
        <f t="shared" si="22"/>
        <v>0</v>
      </c>
    </row>
    <row r="1316" spans="12:12" x14ac:dyDescent="0.35">
      <c r="L1316" s="3">
        <f t="shared" si="22"/>
        <v>0</v>
      </c>
    </row>
    <row r="1317" spans="12:12" x14ac:dyDescent="0.35">
      <c r="L1317" s="3">
        <f t="shared" si="22"/>
        <v>0</v>
      </c>
    </row>
    <row r="1318" spans="12:12" x14ac:dyDescent="0.35">
      <c r="L1318" s="3">
        <f t="shared" si="22"/>
        <v>0</v>
      </c>
    </row>
    <row r="1319" spans="12:12" x14ac:dyDescent="0.35">
      <c r="L1319" s="3">
        <f t="shared" si="22"/>
        <v>0</v>
      </c>
    </row>
    <row r="1320" spans="12:12" x14ac:dyDescent="0.35">
      <c r="L1320" s="3">
        <f t="shared" si="22"/>
        <v>0</v>
      </c>
    </row>
    <row r="1321" spans="12:12" x14ac:dyDescent="0.35">
      <c r="L1321" s="3">
        <f t="shared" si="22"/>
        <v>0</v>
      </c>
    </row>
    <row r="1322" spans="12:12" x14ac:dyDescent="0.35">
      <c r="L1322" s="3">
        <f t="shared" si="22"/>
        <v>0</v>
      </c>
    </row>
    <row r="1323" spans="12:12" x14ac:dyDescent="0.35">
      <c r="L1323" s="3">
        <f t="shared" si="22"/>
        <v>0</v>
      </c>
    </row>
    <row r="1324" spans="12:12" x14ac:dyDescent="0.35">
      <c r="L1324" s="3">
        <f t="shared" si="22"/>
        <v>0</v>
      </c>
    </row>
    <row r="1325" spans="12:12" x14ac:dyDescent="0.35">
      <c r="L1325" s="3">
        <f t="shared" si="22"/>
        <v>0</v>
      </c>
    </row>
    <row r="1326" spans="12:12" x14ac:dyDescent="0.35">
      <c r="L1326" s="3">
        <f t="shared" si="22"/>
        <v>0</v>
      </c>
    </row>
    <row r="1327" spans="12:12" x14ac:dyDescent="0.35">
      <c r="L1327" s="3">
        <f t="shared" si="22"/>
        <v>0</v>
      </c>
    </row>
    <row r="1328" spans="12:12" x14ac:dyDescent="0.35">
      <c r="L1328" s="3">
        <f t="shared" si="22"/>
        <v>0</v>
      </c>
    </row>
    <row r="1329" spans="12:12" x14ac:dyDescent="0.35">
      <c r="L1329" s="3">
        <f t="shared" si="22"/>
        <v>0</v>
      </c>
    </row>
    <row r="1330" spans="12:12" x14ac:dyDescent="0.35">
      <c r="L1330" s="3">
        <f t="shared" si="22"/>
        <v>0</v>
      </c>
    </row>
    <row r="1331" spans="12:12" x14ac:dyDescent="0.35">
      <c r="L1331" s="3">
        <f t="shared" si="22"/>
        <v>0</v>
      </c>
    </row>
    <row r="1332" spans="12:12" x14ac:dyDescent="0.35">
      <c r="L1332" s="3">
        <f t="shared" si="22"/>
        <v>0</v>
      </c>
    </row>
    <row r="1333" spans="12:12" x14ac:dyDescent="0.35">
      <c r="L1333" s="3">
        <f t="shared" si="22"/>
        <v>0</v>
      </c>
    </row>
    <row r="1334" spans="12:12" x14ac:dyDescent="0.35">
      <c r="L1334" s="3">
        <f t="shared" si="22"/>
        <v>0</v>
      </c>
    </row>
    <row r="1335" spans="12:12" x14ac:dyDescent="0.35">
      <c r="L1335" s="3">
        <f t="shared" si="22"/>
        <v>0</v>
      </c>
    </row>
    <row r="1336" spans="12:12" x14ac:dyDescent="0.35">
      <c r="L1336" s="3">
        <f t="shared" si="22"/>
        <v>0</v>
      </c>
    </row>
    <row r="1337" spans="12:12" x14ac:dyDescent="0.35">
      <c r="L1337" s="3">
        <f t="shared" si="22"/>
        <v>0</v>
      </c>
    </row>
    <row r="1338" spans="12:12" x14ac:dyDescent="0.35">
      <c r="L1338" s="3">
        <f t="shared" si="22"/>
        <v>0</v>
      </c>
    </row>
    <row r="1339" spans="12:12" x14ac:dyDescent="0.35">
      <c r="L1339" s="3">
        <f t="shared" ref="L1339:L1402" si="23">K1339*C1339</f>
        <v>0</v>
      </c>
    </row>
    <row r="1340" spans="12:12" x14ac:dyDescent="0.35">
      <c r="L1340" s="3">
        <f t="shared" si="23"/>
        <v>0</v>
      </c>
    </row>
    <row r="1341" spans="12:12" x14ac:dyDescent="0.35">
      <c r="L1341" s="3">
        <f t="shared" si="23"/>
        <v>0</v>
      </c>
    </row>
    <row r="1342" spans="12:12" x14ac:dyDescent="0.35">
      <c r="L1342" s="3">
        <f t="shared" si="23"/>
        <v>0</v>
      </c>
    </row>
    <row r="1343" spans="12:12" x14ac:dyDescent="0.35">
      <c r="L1343" s="3">
        <f t="shared" si="23"/>
        <v>0</v>
      </c>
    </row>
    <row r="1344" spans="12:12" x14ac:dyDescent="0.35">
      <c r="L1344" s="3">
        <f t="shared" si="23"/>
        <v>0</v>
      </c>
    </row>
    <row r="1345" spans="12:12" x14ac:dyDescent="0.35">
      <c r="L1345" s="3">
        <f t="shared" si="23"/>
        <v>0</v>
      </c>
    </row>
    <row r="1346" spans="12:12" x14ac:dyDescent="0.35">
      <c r="L1346" s="3">
        <f t="shared" si="23"/>
        <v>0</v>
      </c>
    </row>
    <row r="1347" spans="12:12" x14ac:dyDescent="0.35">
      <c r="L1347" s="3">
        <f t="shared" si="23"/>
        <v>0</v>
      </c>
    </row>
    <row r="1348" spans="12:12" x14ac:dyDescent="0.35">
      <c r="L1348" s="3">
        <f t="shared" si="23"/>
        <v>0</v>
      </c>
    </row>
    <row r="1349" spans="12:12" x14ac:dyDescent="0.35">
      <c r="L1349" s="3">
        <f t="shared" si="23"/>
        <v>0</v>
      </c>
    </row>
    <row r="1350" spans="12:12" x14ac:dyDescent="0.35">
      <c r="L1350" s="3">
        <f t="shared" si="23"/>
        <v>0</v>
      </c>
    </row>
    <row r="1351" spans="12:12" x14ac:dyDescent="0.35">
      <c r="L1351" s="3">
        <f t="shared" si="23"/>
        <v>0</v>
      </c>
    </row>
    <row r="1352" spans="12:12" x14ac:dyDescent="0.35">
      <c r="L1352" s="3">
        <f t="shared" si="23"/>
        <v>0</v>
      </c>
    </row>
    <row r="1353" spans="12:12" x14ac:dyDescent="0.35">
      <c r="L1353" s="3">
        <f t="shared" si="23"/>
        <v>0</v>
      </c>
    </row>
    <row r="1354" spans="12:12" x14ac:dyDescent="0.35">
      <c r="L1354" s="3">
        <f t="shared" si="23"/>
        <v>0</v>
      </c>
    </row>
    <row r="1355" spans="12:12" x14ac:dyDescent="0.35">
      <c r="L1355" s="3">
        <f t="shared" si="23"/>
        <v>0</v>
      </c>
    </row>
    <row r="1356" spans="12:12" x14ac:dyDescent="0.35">
      <c r="L1356" s="3">
        <f t="shared" si="23"/>
        <v>0</v>
      </c>
    </row>
    <row r="1357" spans="12:12" x14ac:dyDescent="0.35">
      <c r="L1357" s="3">
        <f t="shared" si="23"/>
        <v>0</v>
      </c>
    </row>
    <row r="1358" spans="12:12" x14ac:dyDescent="0.35">
      <c r="L1358" s="3">
        <f t="shared" si="23"/>
        <v>0</v>
      </c>
    </row>
    <row r="1359" spans="12:12" x14ac:dyDescent="0.35">
      <c r="L1359" s="3">
        <f t="shared" si="23"/>
        <v>0</v>
      </c>
    </row>
    <row r="1360" spans="12:12" x14ac:dyDescent="0.35">
      <c r="L1360" s="3">
        <f t="shared" si="23"/>
        <v>0</v>
      </c>
    </row>
    <row r="1361" spans="12:12" x14ac:dyDescent="0.35">
      <c r="L1361" s="3">
        <f t="shared" si="23"/>
        <v>0</v>
      </c>
    </row>
    <row r="1362" spans="12:12" x14ac:dyDescent="0.35">
      <c r="L1362" s="3">
        <f t="shared" si="23"/>
        <v>0</v>
      </c>
    </row>
    <row r="1363" spans="12:12" x14ac:dyDescent="0.35">
      <c r="L1363" s="3">
        <f t="shared" si="23"/>
        <v>0</v>
      </c>
    </row>
    <row r="1364" spans="12:12" x14ac:dyDescent="0.35">
      <c r="L1364" s="3">
        <f t="shared" si="23"/>
        <v>0</v>
      </c>
    </row>
    <row r="1365" spans="12:12" x14ac:dyDescent="0.35">
      <c r="L1365" s="3">
        <f t="shared" si="23"/>
        <v>0</v>
      </c>
    </row>
    <row r="1366" spans="12:12" x14ac:dyDescent="0.35">
      <c r="L1366" s="3">
        <f t="shared" si="23"/>
        <v>0</v>
      </c>
    </row>
    <row r="1367" spans="12:12" x14ac:dyDescent="0.35">
      <c r="L1367" s="3">
        <f t="shared" si="23"/>
        <v>0</v>
      </c>
    </row>
    <row r="1368" spans="12:12" x14ac:dyDescent="0.35">
      <c r="L1368" s="3">
        <f t="shared" si="23"/>
        <v>0</v>
      </c>
    </row>
    <row r="1369" spans="12:12" x14ac:dyDescent="0.35">
      <c r="L1369" s="3">
        <f t="shared" si="23"/>
        <v>0</v>
      </c>
    </row>
    <row r="1370" spans="12:12" x14ac:dyDescent="0.35">
      <c r="L1370" s="3">
        <f t="shared" si="23"/>
        <v>0</v>
      </c>
    </row>
    <row r="1371" spans="12:12" x14ac:dyDescent="0.35">
      <c r="L1371" s="3">
        <f t="shared" si="23"/>
        <v>0</v>
      </c>
    </row>
    <row r="1372" spans="12:12" x14ac:dyDescent="0.35">
      <c r="L1372" s="3">
        <f t="shared" si="23"/>
        <v>0</v>
      </c>
    </row>
    <row r="1373" spans="12:12" x14ac:dyDescent="0.35">
      <c r="L1373" s="3">
        <f t="shared" si="23"/>
        <v>0</v>
      </c>
    </row>
    <row r="1374" spans="12:12" x14ac:dyDescent="0.35">
      <c r="L1374" s="3">
        <f t="shared" si="23"/>
        <v>0</v>
      </c>
    </row>
    <row r="1375" spans="12:12" x14ac:dyDescent="0.35">
      <c r="L1375" s="3">
        <f t="shared" si="23"/>
        <v>0</v>
      </c>
    </row>
    <row r="1376" spans="12:12" x14ac:dyDescent="0.35">
      <c r="L1376" s="3">
        <f t="shared" si="23"/>
        <v>0</v>
      </c>
    </row>
    <row r="1377" spans="12:12" x14ac:dyDescent="0.35">
      <c r="L1377" s="3">
        <f t="shared" si="23"/>
        <v>0</v>
      </c>
    </row>
    <row r="1378" spans="12:12" x14ac:dyDescent="0.35">
      <c r="L1378" s="3">
        <f t="shared" si="23"/>
        <v>0</v>
      </c>
    </row>
    <row r="1379" spans="12:12" x14ac:dyDescent="0.35">
      <c r="L1379" s="3">
        <f t="shared" si="23"/>
        <v>0</v>
      </c>
    </row>
    <row r="1380" spans="12:12" x14ac:dyDescent="0.35">
      <c r="L1380" s="3">
        <f t="shared" si="23"/>
        <v>0</v>
      </c>
    </row>
    <row r="1381" spans="12:12" x14ac:dyDescent="0.35">
      <c r="L1381" s="3">
        <f t="shared" si="23"/>
        <v>0</v>
      </c>
    </row>
    <row r="1382" spans="12:12" x14ac:dyDescent="0.35">
      <c r="L1382" s="3">
        <f t="shared" si="23"/>
        <v>0</v>
      </c>
    </row>
    <row r="1383" spans="12:12" x14ac:dyDescent="0.35">
      <c r="L1383" s="3">
        <f t="shared" si="23"/>
        <v>0</v>
      </c>
    </row>
    <row r="1384" spans="12:12" x14ac:dyDescent="0.35">
      <c r="L1384" s="3">
        <f t="shared" si="23"/>
        <v>0</v>
      </c>
    </row>
    <row r="1385" spans="12:12" x14ac:dyDescent="0.35">
      <c r="L1385" s="3">
        <f t="shared" si="23"/>
        <v>0</v>
      </c>
    </row>
    <row r="1386" spans="12:12" x14ac:dyDescent="0.35">
      <c r="L1386" s="3">
        <f t="shared" si="23"/>
        <v>0</v>
      </c>
    </row>
    <row r="1387" spans="12:12" x14ac:dyDescent="0.35">
      <c r="L1387" s="3">
        <f t="shared" si="23"/>
        <v>0</v>
      </c>
    </row>
    <row r="1388" spans="12:12" x14ac:dyDescent="0.35">
      <c r="L1388" s="3">
        <f t="shared" si="23"/>
        <v>0</v>
      </c>
    </row>
    <row r="1389" spans="12:12" x14ac:dyDescent="0.35">
      <c r="L1389" s="3">
        <f t="shared" si="23"/>
        <v>0</v>
      </c>
    </row>
    <row r="1390" spans="12:12" x14ac:dyDescent="0.35">
      <c r="L1390" s="3">
        <f t="shared" si="23"/>
        <v>0</v>
      </c>
    </row>
    <row r="1391" spans="12:12" x14ac:dyDescent="0.35">
      <c r="L1391" s="3">
        <f t="shared" si="23"/>
        <v>0</v>
      </c>
    </row>
    <row r="1392" spans="12:12" x14ac:dyDescent="0.35">
      <c r="L1392" s="3">
        <f t="shared" si="23"/>
        <v>0</v>
      </c>
    </row>
    <row r="1393" spans="12:12" x14ac:dyDescent="0.35">
      <c r="L1393" s="3">
        <f t="shared" si="23"/>
        <v>0</v>
      </c>
    </row>
    <row r="1394" spans="12:12" x14ac:dyDescent="0.35">
      <c r="L1394" s="3">
        <f t="shared" si="23"/>
        <v>0</v>
      </c>
    </row>
    <row r="1395" spans="12:12" x14ac:dyDescent="0.35">
      <c r="L1395" s="3">
        <f t="shared" si="23"/>
        <v>0</v>
      </c>
    </row>
    <row r="1396" spans="12:12" x14ac:dyDescent="0.35">
      <c r="L1396" s="3">
        <f t="shared" si="23"/>
        <v>0</v>
      </c>
    </row>
    <row r="1397" spans="12:12" x14ac:dyDescent="0.35">
      <c r="L1397" s="3">
        <f t="shared" si="23"/>
        <v>0</v>
      </c>
    </row>
    <row r="1398" spans="12:12" x14ac:dyDescent="0.35">
      <c r="L1398" s="3">
        <f t="shared" si="23"/>
        <v>0</v>
      </c>
    </row>
    <row r="1399" spans="12:12" x14ac:dyDescent="0.35">
      <c r="L1399" s="3">
        <f t="shared" si="23"/>
        <v>0</v>
      </c>
    </row>
    <row r="1400" spans="12:12" x14ac:dyDescent="0.35">
      <c r="L1400" s="3">
        <f t="shared" si="23"/>
        <v>0</v>
      </c>
    </row>
    <row r="1401" spans="12:12" x14ac:dyDescent="0.35">
      <c r="L1401" s="3">
        <f t="shared" si="23"/>
        <v>0</v>
      </c>
    </row>
    <row r="1402" spans="12:12" x14ac:dyDescent="0.35">
      <c r="L1402" s="3">
        <f t="shared" si="23"/>
        <v>0</v>
      </c>
    </row>
    <row r="1403" spans="12:12" x14ac:dyDescent="0.35">
      <c r="L1403" s="3">
        <f t="shared" ref="L1403:L1466" si="24">K1403*C1403</f>
        <v>0</v>
      </c>
    </row>
    <row r="1404" spans="12:12" x14ac:dyDescent="0.35">
      <c r="L1404" s="3">
        <f t="shared" si="24"/>
        <v>0</v>
      </c>
    </row>
    <row r="1405" spans="12:12" x14ac:dyDescent="0.35">
      <c r="L1405" s="3">
        <f t="shared" si="24"/>
        <v>0</v>
      </c>
    </row>
    <row r="1406" spans="12:12" x14ac:dyDescent="0.35">
      <c r="L1406" s="3">
        <f t="shared" si="24"/>
        <v>0</v>
      </c>
    </row>
    <row r="1407" spans="12:12" x14ac:dyDescent="0.35">
      <c r="L1407" s="3">
        <f t="shared" si="24"/>
        <v>0</v>
      </c>
    </row>
    <row r="1408" spans="12:12" x14ac:dyDescent="0.35">
      <c r="L1408" s="3">
        <f t="shared" si="24"/>
        <v>0</v>
      </c>
    </row>
    <row r="1409" spans="12:12" x14ac:dyDescent="0.35">
      <c r="L1409" s="3">
        <f t="shared" si="24"/>
        <v>0</v>
      </c>
    </row>
    <row r="1410" spans="12:12" x14ac:dyDescent="0.35">
      <c r="L1410" s="3">
        <f t="shared" si="24"/>
        <v>0</v>
      </c>
    </row>
    <row r="1411" spans="12:12" x14ac:dyDescent="0.35">
      <c r="L1411" s="3">
        <f t="shared" si="24"/>
        <v>0</v>
      </c>
    </row>
    <row r="1412" spans="12:12" x14ac:dyDescent="0.35">
      <c r="L1412" s="3">
        <f t="shared" si="24"/>
        <v>0</v>
      </c>
    </row>
    <row r="1413" spans="12:12" x14ac:dyDescent="0.35">
      <c r="L1413" s="3">
        <f t="shared" si="24"/>
        <v>0</v>
      </c>
    </row>
    <row r="1414" spans="12:12" x14ac:dyDescent="0.35">
      <c r="L1414" s="3">
        <f t="shared" si="24"/>
        <v>0</v>
      </c>
    </row>
    <row r="1415" spans="12:12" x14ac:dyDescent="0.35">
      <c r="L1415" s="3">
        <f t="shared" si="24"/>
        <v>0</v>
      </c>
    </row>
    <row r="1416" spans="12:12" x14ac:dyDescent="0.35">
      <c r="L1416" s="3">
        <f t="shared" si="24"/>
        <v>0</v>
      </c>
    </row>
    <row r="1417" spans="12:12" x14ac:dyDescent="0.35">
      <c r="L1417" s="3">
        <f t="shared" si="24"/>
        <v>0</v>
      </c>
    </row>
    <row r="1418" spans="12:12" x14ac:dyDescent="0.35">
      <c r="L1418" s="3">
        <f t="shared" si="24"/>
        <v>0</v>
      </c>
    </row>
    <row r="1419" spans="12:12" x14ac:dyDescent="0.35">
      <c r="L1419" s="3">
        <f t="shared" si="24"/>
        <v>0</v>
      </c>
    </row>
    <row r="1420" spans="12:12" x14ac:dyDescent="0.35">
      <c r="L1420" s="3">
        <f t="shared" si="24"/>
        <v>0</v>
      </c>
    </row>
    <row r="1421" spans="12:12" x14ac:dyDescent="0.35">
      <c r="L1421" s="3">
        <f t="shared" si="24"/>
        <v>0</v>
      </c>
    </row>
    <row r="1422" spans="12:12" x14ac:dyDescent="0.35">
      <c r="L1422" s="3">
        <f t="shared" si="24"/>
        <v>0</v>
      </c>
    </row>
    <row r="1423" spans="12:12" x14ac:dyDescent="0.35">
      <c r="L1423" s="3">
        <f t="shared" si="24"/>
        <v>0</v>
      </c>
    </row>
    <row r="1424" spans="12:12" x14ac:dyDescent="0.35">
      <c r="L1424" s="3">
        <f t="shared" si="24"/>
        <v>0</v>
      </c>
    </row>
    <row r="1425" spans="12:12" x14ac:dyDescent="0.35">
      <c r="L1425" s="3">
        <f t="shared" si="24"/>
        <v>0</v>
      </c>
    </row>
    <row r="1426" spans="12:12" x14ac:dyDescent="0.35">
      <c r="L1426" s="3">
        <f t="shared" si="24"/>
        <v>0</v>
      </c>
    </row>
    <row r="1427" spans="12:12" x14ac:dyDescent="0.35">
      <c r="L1427" s="3">
        <f t="shared" si="24"/>
        <v>0</v>
      </c>
    </row>
    <row r="1428" spans="12:12" x14ac:dyDescent="0.35">
      <c r="L1428" s="3">
        <f t="shared" si="24"/>
        <v>0</v>
      </c>
    </row>
    <row r="1429" spans="12:12" x14ac:dyDescent="0.35">
      <c r="L1429" s="3">
        <f t="shared" si="24"/>
        <v>0</v>
      </c>
    </row>
    <row r="1430" spans="12:12" x14ac:dyDescent="0.35">
      <c r="L1430" s="3">
        <f t="shared" si="24"/>
        <v>0</v>
      </c>
    </row>
    <row r="1431" spans="12:12" x14ac:dyDescent="0.35">
      <c r="L1431" s="3">
        <f t="shared" si="24"/>
        <v>0</v>
      </c>
    </row>
    <row r="1432" spans="12:12" x14ac:dyDescent="0.35">
      <c r="L1432" s="3">
        <f t="shared" si="24"/>
        <v>0</v>
      </c>
    </row>
    <row r="1433" spans="12:12" x14ac:dyDescent="0.35">
      <c r="L1433" s="3">
        <f t="shared" si="24"/>
        <v>0</v>
      </c>
    </row>
    <row r="1434" spans="12:12" x14ac:dyDescent="0.35">
      <c r="L1434" s="3">
        <f t="shared" si="24"/>
        <v>0</v>
      </c>
    </row>
    <row r="1435" spans="12:12" x14ac:dyDescent="0.35">
      <c r="L1435" s="3">
        <f t="shared" si="24"/>
        <v>0</v>
      </c>
    </row>
    <row r="1436" spans="12:12" x14ac:dyDescent="0.35">
      <c r="L1436" s="3">
        <f t="shared" si="24"/>
        <v>0</v>
      </c>
    </row>
    <row r="1437" spans="12:12" x14ac:dyDescent="0.35">
      <c r="L1437" s="3">
        <f t="shared" si="24"/>
        <v>0</v>
      </c>
    </row>
    <row r="1438" spans="12:12" x14ac:dyDescent="0.35">
      <c r="L1438" s="3">
        <f t="shared" si="24"/>
        <v>0</v>
      </c>
    </row>
    <row r="1439" spans="12:12" x14ac:dyDescent="0.35">
      <c r="L1439" s="3">
        <f t="shared" si="24"/>
        <v>0</v>
      </c>
    </row>
    <row r="1440" spans="12:12" x14ac:dyDescent="0.35">
      <c r="L1440" s="3">
        <f t="shared" si="24"/>
        <v>0</v>
      </c>
    </row>
    <row r="1441" spans="12:12" x14ac:dyDescent="0.35">
      <c r="L1441" s="3">
        <f t="shared" si="24"/>
        <v>0</v>
      </c>
    </row>
    <row r="1442" spans="12:12" x14ac:dyDescent="0.35">
      <c r="L1442" s="3">
        <f t="shared" si="24"/>
        <v>0</v>
      </c>
    </row>
    <row r="1443" spans="12:12" x14ac:dyDescent="0.35">
      <c r="L1443" s="3">
        <f t="shared" si="24"/>
        <v>0</v>
      </c>
    </row>
    <row r="1444" spans="12:12" x14ac:dyDescent="0.35">
      <c r="L1444" s="3">
        <f t="shared" si="24"/>
        <v>0</v>
      </c>
    </row>
    <row r="1445" spans="12:12" x14ac:dyDescent="0.35">
      <c r="L1445" s="3">
        <f t="shared" si="24"/>
        <v>0</v>
      </c>
    </row>
    <row r="1446" spans="12:12" x14ac:dyDescent="0.35">
      <c r="L1446" s="3">
        <f t="shared" si="24"/>
        <v>0</v>
      </c>
    </row>
    <row r="1447" spans="12:12" x14ac:dyDescent="0.35">
      <c r="L1447" s="3">
        <f t="shared" si="24"/>
        <v>0</v>
      </c>
    </row>
    <row r="1448" spans="12:12" x14ac:dyDescent="0.35">
      <c r="L1448" s="3">
        <f t="shared" si="24"/>
        <v>0</v>
      </c>
    </row>
    <row r="1449" spans="12:12" x14ac:dyDescent="0.35">
      <c r="L1449" s="3">
        <f t="shared" si="24"/>
        <v>0</v>
      </c>
    </row>
    <row r="1450" spans="12:12" x14ac:dyDescent="0.35">
      <c r="L1450" s="3">
        <f t="shared" si="24"/>
        <v>0</v>
      </c>
    </row>
    <row r="1451" spans="12:12" x14ac:dyDescent="0.35">
      <c r="L1451" s="3">
        <f t="shared" si="24"/>
        <v>0</v>
      </c>
    </row>
    <row r="1452" spans="12:12" x14ac:dyDescent="0.35">
      <c r="L1452" s="3">
        <f t="shared" si="24"/>
        <v>0</v>
      </c>
    </row>
    <row r="1453" spans="12:12" x14ac:dyDescent="0.35">
      <c r="L1453" s="3">
        <f t="shared" si="24"/>
        <v>0</v>
      </c>
    </row>
    <row r="1454" spans="12:12" x14ac:dyDescent="0.35">
      <c r="L1454" s="3">
        <f t="shared" si="24"/>
        <v>0</v>
      </c>
    </row>
    <row r="1455" spans="12:12" x14ac:dyDescent="0.35">
      <c r="L1455" s="3">
        <f t="shared" si="24"/>
        <v>0</v>
      </c>
    </row>
    <row r="1456" spans="12:12" x14ac:dyDescent="0.35">
      <c r="L1456" s="3">
        <f t="shared" si="24"/>
        <v>0</v>
      </c>
    </row>
    <row r="1457" spans="12:12" x14ac:dyDescent="0.35">
      <c r="L1457" s="3">
        <f t="shared" si="24"/>
        <v>0</v>
      </c>
    </row>
    <row r="1458" spans="12:12" x14ac:dyDescent="0.35">
      <c r="L1458" s="3">
        <f t="shared" si="24"/>
        <v>0</v>
      </c>
    </row>
    <row r="1459" spans="12:12" x14ac:dyDescent="0.35">
      <c r="L1459" s="3">
        <f t="shared" si="24"/>
        <v>0</v>
      </c>
    </row>
    <row r="1460" spans="12:12" x14ac:dyDescent="0.35">
      <c r="L1460" s="3">
        <f t="shared" si="24"/>
        <v>0</v>
      </c>
    </row>
    <row r="1461" spans="12:12" x14ac:dyDescent="0.35">
      <c r="L1461" s="3">
        <f t="shared" si="24"/>
        <v>0</v>
      </c>
    </row>
    <row r="1462" spans="12:12" x14ac:dyDescent="0.35">
      <c r="L1462" s="3">
        <f t="shared" si="24"/>
        <v>0</v>
      </c>
    </row>
    <row r="1463" spans="12:12" x14ac:dyDescent="0.35">
      <c r="L1463" s="3">
        <f t="shared" si="24"/>
        <v>0</v>
      </c>
    </row>
    <row r="1464" spans="12:12" x14ac:dyDescent="0.35">
      <c r="L1464" s="3">
        <f t="shared" si="24"/>
        <v>0</v>
      </c>
    </row>
    <row r="1465" spans="12:12" x14ac:dyDescent="0.35">
      <c r="L1465" s="3">
        <f t="shared" si="24"/>
        <v>0</v>
      </c>
    </row>
    <row r="1466" spans="12:12" x14ac:dyDescent="0.35">
      <c r="L1466" s="3">
        <f t="shared" si="24"/>
        <v>0</v>
      </c>
    </row>
    <row r="1467" spans="12:12" x14ac:dyDescent="0.35">
      <c r="L1467" s="3">
        <f t="shared" ref="L1467:L1530" si="25">K1467*C1467</f>
        <v>0</v>
      </c>
    </row>
    <row r="1468" spans="12:12" x14ac:dyDescent="0.35">
      <c r="L1468" s="3">
        <f t="shared" si="25"/>
        <v>0</v>
      </c>
    </row>
    <row r="1469" spans="12:12" x14ac:dyDescent="0.35">
      <c r="L1469" s="3">
        <f t="shared" si="25"/>
        <v>0</v>
      </c>
    </row>
    <row r="1470" spans="12:12" x14ac:dyDescent="0.35">
      <c r="L1470" s="3">
        <f t="shared" si="25"/>
        <v>0</v>
      </c>
    </row>
    <row r="1471" spans="12:12" x14ac:dyDescent="0.35">
      <c r="L1471" s="3">
        <f t="shared" si="25"/>
        <v>0</v>
      </c>
    </row>
    <row r="1472" spans="12:12" x14ac:dyDescent="0.35">
      <c r="L1472" s="3">
        <f t="shared" si="25"/>
        <v>0</v>
      </c>
    </row>
    <row r="1473" spans="12:12" x14ac:dyDescent="0.35">
      <c r="L1473" s="3">
        <f t="shared" si="25"/>
        <v>0</v>
      </c>
    </row>
    <row r="1474" spans="12:12" x14ac:dyDescent="0.35">
      <c r="L1474" s="3">
        <f t="shared" si="25"/>
        <v>0</v>
      </c>
    </row>
    <row r="1475" spans="12:12" x14ac:dyDescent="0.35">
      <c r="L1475" s="3">
        <f t="shared" si="25"/>
        <v>0</v>
      </c>
    </row>
    <row r="1476" spans="12:12" x14ac:dyDescent="0.35">
      <c r="L1476" s="3">
        <f t="shared" si="25"/>
        <v>0</v>
      </c>
    </row>
    <row r="1477" spans="12:12" x14ac:dyDescent="0.35">
      <c r="L1477" s="3">
        <f t="shared" si="25"/>
        <v>0</v>
      </c>
    </row>
    <row r="1478" spans="12:12" x14ac:dyDescent="0.35">
      <c r="L1478" s="3">
        <f t="shared" si="25"/>
        <v>0</v>
      </c>
    </row>
    <row r="1479" spans="12:12" x14ac:dyDescent="0.35">
      <c r="L1479" s="3">
        <f t="shared" si="25"/>
        <v>0</v>
      </c>
    </row>
    <row r="1480" spans="12:12" x14ac:dyDescent="0.35">
      <c r="L1480" s="3">
        <f t="shared" si="25"/>
        <v>0</v>
      </c>
    </row>
    <row r="1481" spans="12:12" x14ac:dyDescent="0.35">
      <c r="L1481" s="3">
        <f t="shared" si="25"/>
        <v>0</v>
      </c>
    </row>
    <row r="1482" spans="12:12" x14ac:dyDescent="0.35">
      <c r="L1482" s="3">
        <f t="shared" si="25"/>
        <v>0</v>
      </c>
    </row>
    <row r="1483" spans="12:12" x14ac:dyDescent="0.35">
      <c r="L1483" s="3">
        <f t="shared" si="25"/>
        <v>0</v>
      </c>
    </row>
    <row r="1484" spans="12:12" x14ac:dyDescent="0.35">
      <c r="L1484" s="3">
        <f t="shared" si="25"/>
        <v>0</v>
      </c>
    </row>
    <row r="1485" spans="12:12" x14ac:dyDescent="0.35">
      <c r="L1485" s="3">
        <f t="shared" si="25"/>
        <v>0</v>
      </c>
    </row>
    <row r="1486" spans="12:12" x14ac:dyDescent="0.35">
      <c r="L1486" s="3">
        <f t="shared" si="25"/>
        <v>0</v>
      </c>
    </row>
    <row r="1487" spans="12:12" x14ac:dyDescent="0.35">
      <c r="L1487" s="3">
        <f t="shared" si="25"/>
        <v>0</v>
      </c>
    </row>
    <row r="1488" spans="12:12" x14ac:dyDescent="0.35">
      <c r="L1488" s="3">
        <f t="shared" si="25"/>
        <v>0</v>
      </c>
    </row>
    <row r="1489" spans="12:12" x14ac:dyDescent="0.35">
      <c r="L1489" s="3">
        <f t="shared" si="25"/>
        <v>0</v>
      </c>
    </row>
    <row r="1490" spans="12:12" x14ac:dyDescent="0.35">
      <c r="L1490" s="3">
        <f t="shared" si="25"/>
        <v>0</v>
      </c>
    </row>
    <row r="1491" spans="12:12" x14ac:dyDescent="0.35">
      <c r="L1491" s="3">
        <f t="shared" si="25"/>
        <v>0</v>
      </c>
    </row>
    <row r="1492" spans="12:12" x14ac:dyDescent="0.35">
      <c r="L1492" s="3">
        <f t="shared" si="25"/>
        <v>0</v>
      </c>
    </row>
    <row r="1493" spans="12:12" x14ac:dyDescent="0.35">
      <c r="L1493" s="3">
        <f t="shared" si="25"/>
        <v>0</v>
      </c>
    </row>
    <row r="1494" spans="12:12" x14ac:dyDescent="0.35">
      <c r="L1494" s="3">
        <f t="shared" si="25"/>
        <v>0</v>
      </c>
    </row>
    <row r="1495" spans="12:12" x14ac:dyDescent="0.35">
      <c r="L1495" s="3">
        <f t="shared" si="25"/>
        <v>0</v>
      </c>
    </row>
    <row r="1496" spans="12:12" x14ac:dyDescent="0.35">
      <c r="L1496" s="3">
        <f t="shared" si="25"/>
        <v>0</v>
      </c>
    </row>
    <row r="1497" spans="12:12" x14ac:dyDescent="0.35">
      <c r="L1497" s="3">
        <f t="shared" si="25"/>
        <v>0</v>
      </c>
    </row>
    <row r="1498" spans="12:12" x14ac:dyDescent="0.35">
      <c r="L1498" s="3">
        <f t="shared" si="25"/>
        <v>0</v>
      </c>
    </row>
    <row r="1499" spans="12:12" x14ac:dyDescent="0.35">
      <c r="L1499" s="3">
        <f t="shared" si="25"/>
        <v>0</v>
      </c>
    </row>
    <row r="1500" spans="12:12" x14ac:dyDescent="0.35">
      <c r="L1500" s="3">
        <f t="shared" si="25"/>
        <v>0</v>
      </c>
    </row>
    <row r="1501" spans="12:12" x14ac:dyDescent="0.35">
      <c r="L1501" s="3">
        <f t="shared" si="25"/>
        <v>0</v>
      </c>
    </row>
    <row r="1502" spans="12:12" x14ac:dyDescent="0.35">
      <c r="L1502" s="3">
        <f t="shared" si="25"/>
        <v>0</v>
      </c>
    </row>
    <row r="1503" spans="12:12" x14ac:dyDescent="0.35">
      <c r="L1503" s="3">
        <f t="shared" si="25"/>
        <v>0</v>
      </c>
    </row>
    <row r="1504" spans="12:12" x14ac:dyDescent="0.35">
      <c r="L1504" s="3">
        <f t="shared" si="25"/>
        <v>0</v>
      </c>
    </row>
    <row r="1505" spans="12:12" x14ac:dyDescent="0.35">
      <c r="L1505" s="3">
        <f t="shared" si="25"/>
        <v>0</v>
      </c>
    </row>
    <row r="1506" spans="12:12" x14ac:dyDescent="0.35">
      <c r="L1506" s="3">
        <f t="shared" si="25"/>
        <v>0</v>
      </c>
    </row>
    <row r="1507" spans="12:12" x14ac:dyDescent="0.35">
      <c r="L1507" s="3">
        <f t="shared" si="25"/>
        <v>0</v>
      </c>
    </row>
    <row r="1508" spans="12:12" x14ac:dyDescent="0.35">
      <c r="L1508" s="3">
        <f t="shared" si="25"/>
        <v>0</v>
      </c>
    </row>
    <row r="1509" spans="12:12" x14ac:dyDescent="0.35">
      <c r="L1509" s="3">
        <f t="shared" si="25"/>
        <v>0</v>
      </c>
    </row>
    <row r="1510" spans="12:12" x14ac:dyDescent="0.35">
      <c r="L1510" s="3">
        <f t="shared" si="25"/>
        <v>0</v>
      </c>
    </row>
    <row r="1511" spans="12:12" x14ac:dyDescent="0.35">
      <c r="L1511" s="3">
        <f t="shared" si="25"/>
        <v>0</v>
      </c>
    </row>
    <row r="1512" spans="12:12" x14ac:dyDescent="0.35">
      <c r="L1512" s="3">
        <f t="shared" si="25"/>
        <v>0</v>
      </c>
    </row>
    <row r="1513" spans="12:12" x14ac:dyDescent="0.35">
      <c r="L1513" s="3">
        <f t="shared" si="25"/>
        <v>0</v>
      </c>
    </row>
    <row r="1514" spans="12:12" x14ac:dyDescent="0.35">
      <c r="L1514" s="3">
        <f t="shared" si="25"/>
        <v>0</v>
      </c>
    </row>
    <row r="1515" spans="12:12" x14ac:dyDescent="0.35">
      <c r="L1515" s="3">
        <f t="shared" si="25"/>
        <v>0</v>
      </c>
    </row>
    <row r="1516" spans="12:12" x14ac:dyDescent="0.35">
      <c r="L1516" s="3">
        <f t="shared" si="25"/>
        <v>0</v>
      </c>
    </row>
    <row r="1517" spans="12:12" x14ac:dyDescent="0.35">
      <c r="L1517" s="3">
        <f t="shared" si="25"/>
        <v>0</v>
      </c>
    </row>
    <row r="1518" spans="12:12" x14ac:dyDescent="0.35">
      <c r="L1518" s="3">
        <f t="shared" si="25"/>
        <v>0</v>
      </c>
    </row>
    <row r="1519" spans="12:12" x14ac:dyDescent="0.35">
      <c r="L1519" s="3">
        <f t="shared" si="25"/>
        <v>0</v>
      </c>
    </row>
    <row r="1520" spans="12:12" x14ac:dyDescent="0.35">
      <c r="L1520" s="3">
        <f t="shared" si="25"/>
        <v>0</v>
      </c>
    </row>
    <row r="1521" spans="12:12" x14ac:dyDescent="0.35">
      <c r="L1521" s="3">
        <f t="shared" si="25"/>
        <v>0</v>
      </c>
    </row>
    <row r="1522" spans="12:12" x14ac:dyDescent="0.35">
      <c r="L1522" s="3">
        <f t="shared" si="25"/>
        <v>0</v>
      </c>
    </row>
    <row r="1523" spans="12:12" x14ac:dyDescent="0.35">
      <c r="L1523" s="3">
        <f t="shared" si="25"/>
        <v>0</v>
      </c>
    </row>
    <row r="1524" spans="12:12" x14ac:dyDescent="0.35">
      <c r="L1524" s="3">
        <f t="shared" si="25"/>
        <v>0</v>
      </c>
    </row>
    <row r="1525" spans="12:12" x14ac:dyDescent="0.35">
      <c r="L1525" s="3">
        <f t="shared" si="25"/>
        <v>0</v>
      </c>
    </row>
    <row r="1526" spans="12:12" x14ac:dyDescent="0.35">
      <c r="L1526" s="3">
        <f t="shared" si="25"/>
        <v>0</v>
      </c>
    </row>
    <row r="1527" spans="12:12" x14ac:dyDescent="0.35">
      <c r="L1527" s="3">
        <f t="shared" si="25"/>
        <v>0</v>
      </c>
    </row>
    <row r="1528" spans="12:12" x14ac:dyDescent="0.35">
      <c r="L1528" s="3">
        <f t="shared" si="25"/>
        <v>0</v>
      </c>
    </row>
    <row r="1529" spans="12:12" x14ac:dyDescent="0.35">
      <c r="L1529" s="3">
        <f t="shared" si="25"/>
        <v>0</v>
      </c>
    </row>
    <row r="1530" spans="12:12" x14ac:dyDescent="0.35">
      <c r="L1530" s="3">
        <f t="shared" si="25"/>
        <v>0</v>
      </c>
    </row>
    <row r="1531" spans="12:12" x14ac:dyDescent="0.35">
      <c r="L1531" s="3">
        <f t="shared" ref="L1531:L1594" si="26">K1531*C1531</f>
        <v>0</v>
      </c>
    </row>
    <row r="1532" spans="12:12" x14ac:dyDescent="0.35">
      <c r="L1532" s="3">
        <f t="shared" si="26"/>
        <v>0</v>
      </c>
    </row>
    <row r="1533" spans="12:12" x14ac:dyDescent="0.35">
      <c r="L1533" s="3">
        <f t="shared" si="26"/>
        <v>0</v>
      </c>
    </row>
    <row r="1534" spans="12:12" x14ac:dyDescent="0.35">
      <c r="L1534" s="3">
        <f t="shared" si="26"/>
        <v>0</v>
      </c>
    </row>
    <row r="1535" spans="12:12" x14ac:dyDescent="0.35">
      <c r="L1535" s="3">
        <f t="shared" si="26"/>
        <v>0</v>
      </c>
    </row>
    <row r="1536" spans="12:12" x14ac:dyDescent="0.35">
      <c r="L1536" s="3">
        <f t="shared" si="26"/>
        <v>0</v>
      </c>
    </row>
    <row r="1537" spans="12:12" x14ac:dyDescent="0.35">
      <c r="L1537" s="3">
        <f t="shared" si="26"/>
        <v>0</v>
      </c>
    </row>
    <row r="1538" spans="12:12" x14ac:dyDescent="0.35">
      <c r="L1538" s="3">
        <f t="shared" si="26"/>
        <v>0</v>
      </c>
    </row>
    <row r="1539" spans="12:12" x14ac:dyDescent="0.35">
      <c r="L1539" s="3">
        <f t="shared" si="26"/>
        <v>0</v>
      </c>
    </row>
    <row r="1540" spans="12:12" x14ac:dyDescent="0.35">
      <c r="L1540" s="3">
        <f t="shared" si="26"/>
        <v>0</v>
      </c>
    </row>
    <row r="1541" spans="12:12" x14ac:dyDescent="0.35">
      <c r="L1541" s="3">
        <f t="shared" si="26"/>
        <v>0</v>
      </c>
    </row>
    <row r="1542" spans="12:12" x14ac:dyDescent="0.35">
      <c r="L1542" s="3">
        <f t="shared" si="26"/>
        <v>0</v>
      </c>
    </row>
    <row r="1543" spans="12:12" x14ac:dyDescent="0.35">
      <c r="L1543" s="3">
        <f t="shared" si="26"/>
        <v>0</v>
      </c>
    </row>
    <row r="1544" spans="12:12" x14ac:dyDescent="0.35">
      <c r="L1544" s="3">
        <f t="shared" si="26"/>
        <v>0</v>
      </c>
    </row>
    <row r="1545" spans="12:12" x14ac:dyDescent="0.35">
      <c r="L1545" s="3">
        <f t="shared" si="26"/>
        <v>0</v>
      </c>
    </row>
    <row r="1546" spans="12:12" x14ac:dyDescent="0.35">
      <c r="L1546" s="3">
        <f t="shared" si="26"/>
        <v>0</v>
      </c>
    </row>
    <row r="1547" spans="12:12" x14ac:dyDescent="0.35">
      <c r="L1547" s="3">
        <f t="shared" si="26"/>
        <v>0</v>
      </c>
    </row>
    <row r="1548" spans="12:12" x14ac:dyDescent="0.35">
      <c r="L1548" s="3">
        <f t="shared" si="26"/>
        <v>0</v>
      </c>
    </row>
    <row r="1549" spans="12:12" x14ac:dyDescent="0.35">
      <c r="L1549" s="3">
        <f t="shared" si="26"/>
        <v>0</v>
      </c>
    </row>
    <row r="1550" spans="12:12" x14ac:dyDescent="0.35">
      <c r="L1550" s="3">
        <f t="shared" si="26"/>
        <v>0</v>
      </c>
    </row>
    <row r="1551" spans="12:12" x14ac:dyDescent="0.35">
      <c r="L1551" s="3">
        <f t="shared" si="26"/>
        <v>0</v>
      </c>
    </row>
    <row r="1552" spans="12:12" x14ac:dyDescent="0.35">
      <c r="L1552" s="3">
        <f t="shared" si="26"/>
        <v>0</v>
      </c>
    </row>
    <row r="1553" spans="12:12" x14ac:dyDescent="0.35">
      <c r="L1553" s="3">
        <f t="shared" si="26"/>
        <v>0</v>
      </c>
    </row>
    <row r="1554" spans="12:12" x14ac:dyDescent="0.35">
      <c r="L1554" s="3">
        <f t="shared" si="26"/>
        <v>0</v>
      </c>
    </row>
    <row r="1555" spans="12:12" x14ac:dyDescent="0.35">
      <c r="L1555" s="3">
        <f t="shared" si="26"/>
        <v>0</v>
      </c>
    </row>
    <row r="1556" spans="12:12" x14ac:dyDescent="0.35">
      <c r="L1556" s="3">
        <f t="shared" si="26"/>
        <v>0</v>
      </c>
    </row>
    <row r="1557" spans="12:12" x14ac:dyDescent="0.35">
      <c r="L1557" s="3">
        <f t="shared" si="26"/>
        <v>0</v>
      </c>
    </row>
    <row r="1558" spans="12:12" x14ac:dyDescent="0.35">
      <c r="L1558" s="3">
        <f t="shared" si="26"/>
        <v>0</v>
      </c>
    </row>
    <row r="1559" spans="12:12" x14ac:dyDescent="0.35">
      <c r="L1559" s="3">
        <f t="shared" si="26"/>
        <v>0</v>
      </c>
    </row>
    <row r="1560" spans="12:12" x14ac:dyDescent="0.35">
      <c r="L1560" s="3">
        <f t="shared" si="26"/>
        <v>0</v>
      </c>
    </row>
    <row r="1561" spans="12:12" x14ac:dyDescent="0.35">
      <c r="L1561" s="3">
        <f t="shared" si="26"/>
        <v>0</v>
      </c>
    </row>
    <row r="1562" spans="12:12" x14ac:dyDescent="0.35">
      <c r="L1562" s="3">
        <f t="shared" si="26"/>
        <v>0</v>
      </c>
    </row>
    <row r="1563" spans="12:12" x14ac:dyDescent="0.35">
      <c r="L1563" s="3">
        <f t="shared" si="26"/>
        <v>0</v>
      </c>
    </row>
    <row r="1564" spans="12:12" x14ac:dyDescent="0.35">
      <c r="L1564" s="3">
        <f t="shared" si="26"/>
        <v>0</v>
      </c>
    </row>
    <row r="1565" spans="12:12" x14ac:dyDescent="0.35">
      <c r="L1565" s="3">
        <f t="shared" si="26"/>
        <v>0</v>
      </c>
    </row>
    <row r="1566" spans="12:12" x14ac:dyDescent="0.35">
      <c r="L1566" s="3">
        <f t="shared" si="26"/>
        <v>0</v>
      </c>
    </row>
    <row r="1567" spans="12:12" x14ac:dyDescent="0.35">
      <c r="L1567" s="3">
        <f t="shared" si="26"/>
        <v>0</v>
      </c>
    </row>
    <row r="1568" spans="12:12" x14ac:dyDescent="0.35">
      <c r="L1568" s="3">
        <f t="shared" si="26"/>
        <v>0</v>
      </c>
    </row>
    <row r="1569" spans="12:12" x14ac:dyDescent="0.35">
      <c r="L1569" s="3">
        <f t="shared" si="26"/>
        <v>0</v>
      </c>
    </row>
    <row r="1570" spans="12:12" x14ac:dyDescent="0.35">
      <c r="L1570" s="3">
        <f t="shared" si="26"/>
        <v>0</v>
      </c>
    </row>
    <row r="1571" spans="12:12" x14ac:dyDescent="0.35">
      <c r="L1571" s="3">
        <f t="shared" si="26"/>
        <v>0</v>
      </c>
    </row>
    <row r="1572" spans="12:12" x14ac:dyDescent="0.35">
      <c r="L1572" s="3">
        <f t="shared" si="26"/>
        <v>0</v>
      </c>
    </row>
    <row r="1573" spans="12:12" x14ac:dyDescent="0.35">
      <c r="L1573" s="3">
        <f t="shared" si="26"/>
        <v>0</v>
      </c>
    </row>
    <row r="1574" spans="12:12" x14ac:dyDescent="0.35">
      <c r="L1574" s="3">
        <f t="shared" si="26"/>
        <v>0</v>
      </c>
    </row>
    <row r="1575" spans="12:12" x14ac:dyDescent="0.35">
      <c r="L1575" s="3">
        <f t="shared" si="26"/>
        <v>0</v>
      </c>
    </row>
    <row r="1576" spans="12:12" x14ac:dyDescent="0.35">
      <c r="L1576" s="3">
        <f t="shared" si="26"/>
        <v>0</v>
      </c>
    </row>
    <row r="1577" spans="12:12" x14ac:dyDescent="0.35">
      <c r="L1577" s="3">
        <f t="shared" si="26"/>
        <v>0</v>
      </c>
    </row>
    <row r="1578" spans="12:12" x14ac:dyDescent="0.35">
      <c r="L1578" s="3">
        <f t="shared" si="26"/>
        <v>0</v>
      </c>
    </row>
    <row r="1579" spans="12:12" x14ac:dyDescent="0.35">
      <c r="L1579" s="3">
        <f t="shared" si="26"/>
        <v>0</v>
      </c>
    </row>
    <row r="1580" spans="12:12" x14ac:dyDescent="0.35">
      <c r="L1580" s="3">
        <f t="shared" si="26"/>
        <v>0</v>
      </c>
    </row>
    <row r="1581" spans="12:12" x14ac:dyDescent="0.35">
      <c r="L1581" s="3">
        <f t="shared" si="26"/>
        <v>0</v>
      </c>
    </row>
    <row r="1582" spans="12:12" x14ac:dyDescent="0.35">
      <c r="L1582" s="3">
        <f t="shared" si="26"/>
        <v>0</v>
      </c>
    </row>
    <row r="1583" spans="12:12" x14ac:dyDescent="0.35">
      <c r="L1583" s="3">
        <f t="shared" si="26"/>
        <v>0</v>
      </c>
    </row>
    <row r="1584" spans="12:12" x14ac:dyDescent="0.35">
      <c r="L1584" s="3">
        <f t="shared" si="26"/>
        <v>0</v>
      </c>
    </row>
    <row r="1585" spans="12:12" x14ac:dyDescent="0.35">
      <c r="L1585" s="3">
        <f t="shared" si="26"/>
        <v>0</v>
      </c>
    </row>
    <row r="1586" spans="12:12" x14ac:dyDescent="0.35">
      <c r="L1586" s="3">
        <f t="shared" si="26"/>
        <v>0</v>
      </c>
    </row>
    <row r="1587" spans="12:12" x14ac:dyDescent="0.35">
      <c r="L1587" s="3">
        <f t="shared" si="26"/>
        <v>0</v>
      </c>
    </row>
    <row r="1588" spans="12:12" x14ac:dyDescent="0.35">
      <c r="L1588" s="3">
        <f t="shared" si="26"/>
        <v>0</v>
      </c>
    </row>
    <row r="1589" spans="12:12" x14ac:dyDescent="0.35">
      <c r="L1589" s="3">
        <f t="shared" si="26"/>
        <v>0</v>
      </c>
    </row>
    <row r="1590" spans="12:12" x14ac:dyDescent="0.35">
      <c r="L1590" s="3">
        <f t="shared" si="26"/>
        <v>0</v>
      </c>
    </row>
    <row r="1591" spans="12:12" x14ac:dyDescent="0.35">
      <c r="L1591" s="3">
        <f t="shared" si="26"/>
        <v>0</v>
      </c>
    </row>
    <row r="1592" spans="12:12" x14ac:dyDescent="0.35">
      <c r="L1592" s="3">
        <f t="shared" si="26"/>
        <v>0</v>
      </c>
    </row>
    <row r="1593" spans="12:12" x14ac:dyDescent="0.35">
      <c r="L1593" s="3">
        <f t="shared" si="26"/>
        <v>0</v>
      </c>
    </row>
    <row r="1594" spans="12:12" x14ac:dyDescent="0.35">
      <c r="L1594" s="3">
        <f t="shared" si="26"/>
        <v>0</v>
      </c>
    </row>
    <row r="1595" spans="12:12" x14ac:dyDescent="0.35">
      <c r="L1595" s="3">
        <f t="shared" ref="L1595:L1658" si="27">K1595*C1595</f>
        <v>0</v>
      </c>
    </row>
    <row r="1596" spans="12:12" x14ac:dyDescent="0.35">
      <c r="L1596" s="3">
        <f t="shared" si="27"/>
        <v>0</v>
      </c>
    </row>
    <row r="1597" spans="12:12" x14ac:dyDescent="0.35">
      <c r="L1597" s="3">
        <f t="shared" si="27"/>
        <v>0</v>
      </c>
    </row>
    <row r="1598" spans="12:12" x14ac:dyDescent="0.35">
      <c r="L1598" s="3">
        <f t="shared" si="27"/>
        <v>0</v>
      </c>
    </row>
    <row r="1599" spans="12:12" x14ac:dyDescent="0.35">
      <c r="L1599" s="3">
        <f t="shared" si="27"/>
        <v>0</v>
      </c>
    </row>
    <row r="1600" spans="12:12" x14ac:dyDescent="0.35">
      <c r="L1600" s="3">
        <f t="shared" si="27"/>
        <v>0</v>
      </c>
    </row>
    <row r="1601" spans="12:12" x14ac:dyDescent="0.35">
      <c r="L1601" s="3">
        <f t="shared" si="27"/>
        <v>0</v>
      </c>
    </row>
    <row r="1602" spans="12:12" x14ac:dyDescent="0.35">
      <c r="L1602" s="3">
        <f t="shared" si="27"/>
        <v>0</v>
      </c>
    </row>
    <row r="1603" spans="12:12" x14ac:dyDescent="0.35">
      <c r="L1603" s="3">
        <f t="shared" si="27"/>
        <v>0</v>
      </c>
    </row>
    <row r="1604" spans="12:12" x14ac:dyDescent="0.35">
      <c r="L1604" s="3">
        <f t="shared" si="27"/>
        <v>0</v>
      </c>
    </row>
    <row r="1605" spans="12:12" x14ac:dyDescent="0.35">
      <c r="L1605" s="3">
        <f t="shared" si="27"/>
        <v>0</v>
      </c>
    </row>
    <row r="1606" spans="12:12" x14ac:dyDescent="0.35">
      <c r="L1606" s="3">
        <f t="shared" si="27"/>
        <v>0</v>
      </c>
    </row>
    <row r="1607" spans="12:12" x14ac:dyDescent="0.35">
      <c r="L1607" s="3">
        <f t="shared" si="27"/>
        <v>0</v>
      </c>
    </row>
    <row r="1608" spans="12:12" x14ac:dyDescent="0.35">
      <c r="L1608" s="3">
        <f t="shared" si="27"/>
        <v>0</v>
      </c>
    </row>
    <row r="1609" spans="12:12" x14ac:dyDescent="0.35">
      <c r="L1609" s="3">
        <f t="shared" si="27"/>
        <v>0</v>
      </c>
    </row>
    <row r="1610" spans="12:12" x14ac:dyDescent="0.35">
      <c r="L1610" s="3">
        <f t="shared" si="27"/>
        <v>0</v>
      </c>
    </row>
    <row r="1611" spans="12:12" x14ac:dyDescent="0.35">
      <c r="L1611" s="3">
        <f t="shared" si="27"/>
        <v>0</v>
      </c>
    </row>
    <row r="1612" spans="12:12" x14ac:dyDescent="0.35">
      <c r="L1612" s="3">
        <f t="shared" si="27"/>
        <v>0</v>
      </c>
    </row>
    <row r="1613" spans="12:12" x14ac:dyDescent="0.35">
      <c r="L1613" s="3">
        <f t="shared" si="27"/>
        <v>0</v>
      </c>
    </row>
    <row r="1614" spans="12:12" x14ac:dyDescent="0.35">
      <c r="L1614" s="3">
        <f t="shared" si="27"/>
        <v>0</v>
      </c>
    </row>
    <row r="1615" spans="12:12" x14ac:dyDescent="0.35">
      <c r="L1615" s="3">
        <f t="shared" si="27"/>
        <v>0</v>
      </c>
    </row>
    <row r="1616" spans="12:12" x14ac:dyDescent="0.35">
      <c r="L1616" s="3">
        <f t="shared" si="27"/>
        <v>0</v>
      </c>
    </row>
    <row r="1617" spans="12:12" x14ac:dyDescent="0.35">
      <c r="L1617" s="3">
        <f t="shared" si="27"/>
        <v>0</v>
      </c>
    </row>
    <row r="1618" spans="12:12" x14ac:dyDescent="0.35">
      <c r="L1618" s="3">
        <f t="shared" si="27"/>
        <v>0</v>
      </c>
    </row>
    <row r="1619" spans="12:12" x14ac:dyDescent="0.35">
      <c r="L1619" s="3">
        <f t="shared" si="27"/>
        <v>0</v>
      </c>
    </row>
    <row r="1620" spans="12:12" x14ac:dyDescent="0.35">
      <c r="L1620" s="3">
        <f t="shared" si="27"/>
        <v>0</v>
      </c>
    </row>
    <row r="1621" spans="12:12" x14ac:dyDescent="0.35">
      <c r="L1621" s="3">
        <f t="shared" si="27"/>
        <v>0</v>
      </c>
    </row>
    <row r="1622" spans="12:12" x14ac:dyDescent="0.35">
      <c r="L1622" s="3">
        <f t="shared" si="27"/>
        <v>0</v>
      </c>
    </row>
    <row r="1623" spans="12:12" x14ac:dyDescent="0.35">
      <c r="L1623" s="3">
        <f t="shared" si="27"/>
        <v>0</v>
      </c>
    </row>
    <row r="1624" spans="12:12" x14ac:dyDescent="0.35">
      <c r="L1624" s="3">
        <f t="shared" si="27"/>
        <v>0</v>
      </c>
    </row>
    <row r="1625" spans="12:12" x14ac:dyDescent="0.35">
      <c r="L1625" s="3">
        <f t="shared" si="27"/>
        <v>0</v>
      </c>
    </row>
    <row r="1626" spans="12:12" x14ac:dyDescent="0.35">
      <c r="L1626" s="3">
        <f t="shared" si="27"/>
        <v>0</v>
      </c>
    </row>
    <row r="1627" spans="12:12" x14ac:dyDescent="0.35">
      <c r="L1627" s="3">
        <f t="shared" si="27"/>
        <v>0</v>
      </c>
    </row>
    <row r="1628" spans="12:12" x14ac:dyDescent="0.35">
      <c r="L1628" s="3">
        <f t="shared" si="27"/>
        <v>0</v>
      </c>
    </row>
    <row r="1629" spans="12:12" x14ac:dyDescent="0.35">
      <c r="L1629" s="3">
        <f t="shared" si="27"/>
        <v>0</v>
      </c>
    </row>
    <row r="1630" spans="12:12" x14ac:dyDescent="0.35">
      <c r="L1630" s="3">
        <f t="shared" si="27"/>
        <v>0</v>
      </c>
    </row>
    <row r="1631" spans="12:12" x14ac:dyDescent="0.35">
      <c r="L1631" s="3">
        <f t="shared" si="27"/>
        <v>0</v>
      </c>
    </row>
    <row r="1632" spans="12:12" x14ac:dyDescent="0.35">
      <c r="L1632" s="3">
        <f t="shared" si="27"/>
        <v>0</v>
      </c>
    </row>
    <row r="1633" spans="12:12" x14ac:dyDescent="0.35">
      <c r="L1633" s="3">
        <f t="shared" si="27"/>
        <v>0</v>
      </c>
    </row>
    <row r="1634" spans="12:12" x14ac:dyDescent="0.35">
      <c r="L1634" s="3">
        <f t="shared" si="27"/>
        <v>0</v>
      </c>
    </row>
    <row r="1635" spans="12:12" x14ac:dyDescent="0.35">
      <c r="L1635" s="3">
        <f t="shared" si="27"/>
        <v>0</v>
      </c>
    </row>
    <row r="1636" spans="12:12" x14ac:dyDescent="0.35">
      <c r="L1636" s="3">
        <f t="shared" si="27"/>
        <v>0</v>
      </c>
    </row>
    <row r="1637" spans="12:12" x14ac:dyDescent="0.35">
      <c r="L1637" s="3">
        <f t="shared" si="27"/>
        <v>0</v>
      </c>
    </row>
    <row r="1638" spans="12:12" x14ac:dyDescent="0.35">
      <c r="L1638" s="3">
        <f t="shared" si="27"/>
        <v>0</v>
      </c>
    </row>
    <row r="1639" spans="12:12" x14ac:dyDescent="0.35">
      <c r="L1639" s="3">
        <f t="shared" si="27"/>
        <v>0</v>
      </c>
    </row>
    <row r="1640" spans="12:12" x14ac:dyDescent="0.35">
      <c r="L1640" s="3">
        <f t="shared" si="27"/>
        <v>0</v>
      </c>
    </row>
    <row r="1641" spans="12:12" x14ac:dyDescent="0.35">
      <c r="L1641" s="3">
        <f t="shared" si="27"/>
        <v>0</v>
      </c>
    </row>
    <row r="1642" spans="12:12" x14ac:dyDescent="0.35">
      <c r="L1642" s="3">
        <f t="shared" si="27"/>
        <v>0</v>
      </c>
    </row>
    <row r="1643" spans="12:12" x14ac:dyDescent="0.35">
      <c r="L1643" s="3">
        <f t="shared" si="27"/>
        <v>0</v>
      </c>
    </row>
    <row r="1644" spans="12:12" x14ac:dyDescent="0.35">
      <c r="L1644" s="3">
        <f t="shared" si="27"/>
        <v>0</v>
      </c>
    </row>
    <row r="1645" spans="12:12" x14ac:dyDescent="0.35">
      <c r="L1645" s="3">
        <f t="shared" si="27"/>
        <v>0</v>
      </c>
    </row>
    <row r="1646" spans="12:12" x14ac:dyDescent="0.35">
      <c r="L1646" s="3">
        <f t="shared" si="27"/>
        <v>0</v>
      </c>
    </row>
    <row r="1647" spans="12:12" x14ac:dyDescent="0.35">
      <c r="L1647" s="3">
        <f t="shared" si="27"/>
        <v>0</v>
      </c>
    </row>
    <row r="1648" spans="12:12" x14ac:dyDescent="0.35">
      <c r="L1648" s="3">
        <f t="shared" si="27"/>
        <v>0</v>
      </c>
    </row>
    <row r="1649" spans="12:12" x14ac:dyDescent="0.35">
      <c r="L1649" s="3">
        <f t="shared" si="27"/>
        <v>0</v>
      </c>
    </row>
    <row r="1650" spans="12:12" x14ac:dyDescent="0.35">
      <c r="L1650" s="3">
        <f t="shared" si="27"/>
        <v>0</v>
      </c>
    </row>
    <row r="1651" spans="12:12" x14ac:dyDescent="0.35">
      <c r="L1651" s="3">
        <f t="shared" si="27"/>
        <v>0</v>
      </c>
    </row>
    <row r="1652" spans="12:12" x14ac:dyDescent="0.35">
      <c r="L1652" s="3">
        <f t="shared" si="27"/>
        <v>0</v>
      </c>
    </row>
    <row r="1653" spans="12:12" x14ac:dyDescent="0.35">
      <c r="L1653" s="3">
        <f t="shared" si="27"/>
        <v>0</v>
      </c>
    </row>
    <row r="1654" spans="12:12" x14ac:dyDescent="0.35">
      <c r="L1654" s="3">
        <f t="shared" si="27"/>
        <v>0</v>
      </c>
    </row>
    <row r="1655" spans="12:12" x14ac:dyDescent="0.35">
      <c r="L1655" s="3">
        <f t="shared" si="27"/>
        <v>0</v>
      </c>
    </row>
    <row r="1656" spans="12:12" x14ac:dyDescent="0.35">
      <c r="L1656" s="3">
        <f t="shared" si="27"/>
        <v>0</v>
      </c>
    </row>
    <row r="1657" spans="12:12" x14ac:dyDescent="0.35">
      <c r="L1657" s="3">
        <f t="shared" si="27"/>
        <v>0</v>
      </c>
    </row>
    <row r="1658" spans="12:12" x14ac:dyDescent="0.35">
      <c r="L1658" s="3">
        <f t="shared" si="27"/>
        <v>0</v>
      </c>
    </row>
    <row r="1659" spans="12:12" x14ac:dyDescent="0.35">
      <c r="L1659" s="3">
        <f t="shared" ref="L1659:L1722" si="28">K1659*C1659</f>
        <v>0</v>
      </c>
    </row>
    <row r="1660" spans="12:12" x14ac:dyDescent="0.35">
      <c r="L1660" s="3">
        <f t="shared" si="28"/>
        <v>0</v>
      </c>
    </row>
    <row r="1661" spans="12:12" x14ac:dyDescent="0.35">
      <c r="L1661" s="3">
        <f t="shared" si="28"/>
        <v>0</v>
      </c>
    </row>
    <row r="1662" spans="12:12" x14ac:dyDescent="0.35">
      <c r="L1662" s="3">
        <f t="shared" si="28"/>
        <v>0</v>
      </c>
    </row>
    <row r="1663" spans="12:12" x14ac:dyDescent="0.35">
      <c r="L1663" s="3">
        <f t="shared" si="28"/>
        <v>0</v>
      </c>
    </row>
    <row r="1664" spans="12:12" x14ac:dyDescent="0.35">
      <c r="L1664" s="3">
        <f t="shared" si="28"/>
        <v>0</v>
      </c>
    </row>
    <row r="1665" spans="12:12" x14ac:dyDescent="0.35">
      <c r="L1665" s="3">
        <f t="shared" si="28"/>
        <v>0</v>
      </c>
    </row>
    <row r="1666" spans="12:12" x14ac:dyDescent="0.35">
      <c r="L1666" s="3">
        <f t="shared" si="28"/>
        <v>0</v>
      </c>
    </row>
    <row r="1667" spans="12:12" x14ac:dyDescent="0.35">
      <c r="L1667" s="3">
        <f t="shared" si="28"/>
        <v>0</v>
      </c>
    </row>
    <row r="1668" spans="12:12" x14ac:dyDescent="0.35">
      <c r="L1668" s="3">
        <f t="shared" si="28"/>
        <v>0</v>
      </c>
    </row>
    <row r="1669" spans="12:12" x14ac:dyDescent="0.35">
      <c r="L1669" s="3">
        <f t="shared" si="28"/>
        <v>0</v>
      </c>
    </row>
    <row r="1670" spans="12:12" x14ac:dyDescent="0.35">
      <c r="L1670" s="3">
        <f t="shared" si="28"/>
        <v>0</v>
      </c>
    </row>
    <row r="1671" spans="12:12" x14ac:dyDescent="0.35">
      <c r="L1671" s="3">
        <f t="shared" si="28"/>
        <v>0</v>
      </c>
    </row>
    <row r="1672" spans="12:12" x14ac:dyDescent="0.35">
      <c r="L1672" s="3">
        <f t="shared" si="28"/>
        <v>0</v>
      </c>
    </row>
    <row r="1673" spans="12:12" x14ac:dyDescent="0.35">
      <c r="L1673" s="3">
        <f t="shared" si="28"/>
        <v>0</v>
      </c>
    </row>
    <row r="1674" spans="12:12" x14ac:dyDescent="0.35">
      <c r="L1674" s="3">
        <f t="shared" si="28"/>
        <v>0</v>
      </c>
    </row>
    <row r="1675" spans="12:12" x14ac:dyDescent="0.35">
      <c r="L1675" s="3">
        <f t="shared" si="28"/>
        <v>0</v>
      </c>
    </row>
    <row r="1676" spans="12:12" x14ac:dyDescent="0.35">
      <c r="L1676" s="3">
        <f t="shared" si="28"/>
        <v>0</v>
      </c>
    </row>
    <row r="1677" spans="12:12" x14ac:dyDescent="0.35">
      <c r="L1677" s="3">
        <f t="shared" si="28"/>
        <v>0</v>
      </c>
    </row>
    <row r="1678" spans="12:12" x14ac:dyDescent="0.35">
      <c r="L1678" s="3">
        <f t="shared" si="28"/>
        <v>0</v>
      </c>
    </row>
    <row r="1679" spans="12:12" x14ac:dyDescent="0.35">
      <c r="L1679" s="3">
        <f t="shared" si="28"/>
        <v>0</v>
      </c>
    </row>
    <row r="1680" spans="12:12" x14ac:dyDescent="0.35">
      <c r="L1680" s="3">
        <f t="shared" si="28"/>
        <v>0</v>
      </c>
    </row>
    <row r="1681" spans="12:12" x14ac:dyDescent="0.35">
      <c r="L1681" s="3">
        <f t="shared" si="28"/>
        <v>0</v>
      </c>
    </row>
    <row r="1682" spans="12:12" x14ac:dyDescent="0.35">
      <c r="L1682" s="3">
        <f t="shared" si="28"/>
        <v>0</v>
      </c>
    </row>
    <row r="1683" spans="12:12" x14ac:dyDescent="0.35">
      <c r="L1683" s="3">
        <f t="shared" si="28"/>
        <v>0</v>
      </c>
    </row>
    <row r="1684" spans="12:12" x14ac:dyDescent="0.35">
      <c r="L1684" s="3">
        <f t="shared" si="28"/>
        <v>0</v>
      </c>
    </row>
    <row r="1685" spans="12:12" x14ac:dyDescent="0.35">
      <c r="L1685" s="3">
        <f t="shared" si="28"/>
        <v>0</v>
      </c>
    </row>
    <row r="1686" spans="12:12" x14ac:dyDescent="0.35">
      <c r="L1686" s="3">
        <f t="shared" si="28"/>
        <v>0</v>
      </c>
    </row>
    <row r="1687" spans="12:12" x14ac:dyDescent="0.35">
      <c r="L1687" s="3">
        <f t="shared" si="28"/>
        <v>0</v>
      </c>
    </row>
    <row r="1688" spans="12:12" x14ac:dyDescent="0.35">
      <c r="L1688" s="3">
        <f t="shared" si="28"/>
        <v>0</v>
      </c>
    </row>
    <row r="1689" spans="12:12" x14ac:dyDescent="0.35">
      <c r="L1689" s="3">
        <f t="shared" si="28"/>
        <v>0</v>
      </c>
    </row>
    <row r="1690" spans="12:12" x14ac:dyDescent="0.35">
      <c r="L1690" s="3">
        <f t="shared" si="28"/>
        <v>0</v>
      </c>
    </row>
    <row r="1691" spans="12:12" x14ac:dyDescent="0.35">
      <c r="L1691" s="3">
        <f t="shared" si="28"/>
        <v>0</v>
      </c>
    </row>
    <row r="1692" spans="12:12" x14ac:dyDescent="0.35">
      <c r="L1692" s="3">
        <f t="shared" si="28"/>
        <v>0</v>
      </c>
    </row>
    <row r="1693" spans="12:12" x14ac:dyDescent="0.35">
      <c r="L1693" s="3">
        <f t="shared" si="28"/>
        <v>0</v>
      </c>
    </row>
    <row r="1694" spans="12:12" x14ac:dyDescent="0.35">
      <c r="L1694" s="3">
        <f t="shared" si="28"/>
        <v>0</v>
      </c>
    </row>
    <row r="1695" spans="12:12" x14ac:dyDescent="0.35">
      <c r="L1695" s="3">
        <f t="shared" si="28"/>
        <v>0</v>
      </c>
    </row>
    <row r="1696" spans="12:12" x14ac:dyDescent="0.35">
      <c r="L1696" s="3">
        <f t="shared" si="28"/>
        <v>0</v>
      </c>
    </row>
    <row r="1697" spans="12:12" x14ac:dyDescent="0.35">
      <c r="L1697" s="3">
        <f t="shared" si="28"/>
        <v>0</v>
      </c>
    </row>
    <row r="1698" spans="12:12" x14ac:dyDescent="0.35">
      <c r="L1698" s="3">
        <f t="shared" si="28"/>
        <v>0</v>
      </c>
    </row>
    <row r="1699" spans="12:12" x14ac:dyDescent="0.35">
      <c r="L1699" s="3">
        <f t="shared" si="28"/>
        <v>0</v>
      </c>
    </row>
    <row r="1700" spans="12:12" x14ac:dyDescent="0.35">
      <c r="L1700" s="3">
        <f t="shared" si="28"/>
        <v>0</v>
      </c>
    </row>
    <row r="1701" spans="12:12" x14ac:dyDescent="0.35">
      <c r="L1701" s="3">
        <f t="shared" si="28"/>
        <v>0</v>
      </c>
    </row>
    <row r="1702" spans="12:12" x14ac:dyDescent="0.35">
      <c r="L1702" s="3">
        <f t="shared" si="28"/>
        <v>0</v>
      </c>
    </row>
    <row r="1703" spans="12:12" x14ac:dyDescent="0.35">
      <c r="L1703" s="3">
        <f t="shared" si="28"/>
        <v>0</v>
      </c>
    </row>
    <row r="1704" spans="12:12" x14ac:dyDescent="0.35">
      <c r="L1704" s="3">
        <f t="shared" si="28"/>
        <v>0</v>
      </c>
    </row>
    <row r="1705" spans="12:12" x14ac:dyDescent="0.35">
      <c r="L1705" s="3">
        <f t="shared" si="28"/>
        <v>0</v>
      </c>
    </row>
    <row r="1706" spans="12:12" x14ac:dyDescent="0.35">
      <c r="L1706" s="3">
        <f t="shared" si="28"/>
        <v>0</v>
      </c>
    </row>
    <row r="1707" spans="12:12" x14ac:dyDescent="0.35">
      <c r="L1707" s="3">
        <f t="shared" si="28"/>
        <v>0</v>
      </c>
    </row>
    <row r="1708" spans="12:12" x14ac:dyDescent="0.35">
      <c r="L1708" s="3">
        <f t="shared" si="28"/>
        <v>0</v>
      </c>
    </row>
    <row r="1709" spans="12:12" x14ac:dyDescent="0.35">
      <c r="L1709" s="3">
        <f t="shared" si="28"/>
        <v>0</v>
      </c>
    </row>
    <row r="1710" spans="12:12" x14ac:dyDescent="0.35">
      <c r="L1710" s="3">
        <f t="shared" si="28"/>
        <v>0</v>
      </c>
    </row>
    <row r="1711" spans="12:12" x14ac:dyDescent="0.35">
      <c r="L1711" s="3">
        <f t="shared" si="28"/>
        <v>0</v>
      </c>
    </row>
    <row r="1712" spans="12:12" x14ac:dyDescent="0.35">
      <c r="L1712" s="3">
        <f t="shared" si="28"/>
        <v>0</v>
      </c>
    </row>
    <row r="1713" spans="12:12" x14ac:dyDescent="0.35">
      <c r="L1713" s="3">
        <f t="shared" si="28"/>
        <v>0</v>
      </c>
    </row>
    <row r="1714" spans="12:12" x14ac:dyDescent="0.35">
      <c r="L1714" s="3">
        <f t="shared" si="28"/>
        <v>0</v>
      </c>
    </row>
    <row r="1715" spans="12:12" x14ac:dyDescent="0.35">
      <c r="L1715" s="3">
        <f t="shared" si="28"/>
        <v>0</v>
      </c>
    </row>
    <row r="1716" spans="12:12" x14ac:dyDescent="0.35">
      <c r="L1716" s="3">
        <f t="shared" si="28"/>
        <v>0</v>
      </c>
    </row>
    <row r="1717" spans="12:12" x14ac:dyDescent="0.35">
      <c r="L1717" s="3">
        <f t="shared" si="28"/>
        <v>0</v>
      </c>
    </row>
    <row r="1718" spans="12:12" x14ac:dyDescent="0.35">
      <c r="L1718" s="3">
        <f t="shared" si="28"/>
        <v>0</v>
      </c>
    </row>
    <row r="1719" spans="12:12" x14ac:dyDescent="0.35">
      <c r="L1719" s="3">
        <f t="shared" si="28"/>
        <v>0</v>
      </c>
    </row>
    <row r="1720" spans="12:12" x14ac:dyDescent="0.35">
      <c r="L1720" s="3">
        <f t="shared" si="28"/>
        <v>0</v>
      </c>
    </row>
    <row r="1721" spans="12:12" x14ac:dyDescent="0.35">
      <c r="L1721" s="3">
        <f t="shared" si="28"/>
        <v>0</v>
      </c>
    </row>
    <row r="1722" spans="12:12" x14ac:dyDescent="0.35">
      <c r="L1722" s="3">
        <f t="shared" si="28"/>
        <v>0</v>
      </c>
    </row>
    <row r="1723" spans="12:12" x14ac:dyDescent="0.35">
      <c r="L1723" s="3">
        <f t="shared" ref="L1723:L1786" si="29">K1723*C1723</f>
        <v>0</v>
      </c>
    </row>
    <row r="1724" spans="12:12" x14ac:dyDescent="0.35">
      <c r="L1724" s="3">
        <f t="shared" si="29"/>
        <v>0</v>
      </c>
    </row>
    <row r="1725" spans="12:12" x14ac:dyDescent="0.35">
      <c r="L1725" s="3">
        <f t="shared" si="29"/>
        <v>0</v>
      </c>
    </row>
    <row r="1726" spans="12:12" x14ac:dyDescent="0.35">
      <c r="L1726" s="3">
        <f t="shared" si="29"/>
        <v>0</v>
      </c>
    </row>
    <row r="1727" spans="12:12" x14ac:dyDescent="0.35">
      <c r="L1727" s="3">
        <f t="shared" si="29"/>
        <v>0</v>
      </c>
    </row>
    <row r="1728" spans="12:12" x14ac:dyDescent="0.35">
      <c r="L1728" s="3">
        <f t="shared" si="29"/>
        <v>0</v>
      </c>
    </row>
    <row r="1729" spans="12:12" x14ac:dyDescent="0.35">
      <c r="L1729" s="3">
        <f t="shared" si="29"/>
        <v>0</v>
      </c>
    </row>
    <row r="1730" spans="12:12" x14ac:dyDescent="0.35">
      <c r="L1730" s="3">
        <f t="shared" si="29"/>
        <v>0</v>
      </c>
    </row>
    <row r="1731" spans="12:12" x14ac:dyDescent="0.35">
      <c r="L1731" s="3">
        <f t="shared" si="29"/>
        <v>0</v>
      </c>
    </row>
    <row r="1732" spans="12:12" x14ac:dyDescent="0.35">
      <c r="L1732" s="3">
        <f t="shared" si="29"/>
        <v>0</v>
      </c>
    </row>
    <row r="1733" spans="12:12" x14ac:dyDescent="0.35">
      <c r="L1733" s="3">
        <f t="shared" si="29"/>
        <v>0</v>
      </c>
    </row>
    <row r="1734" spans="12:12" x14ac:dyDescent="0.35">
      <c r="L1734" s="3">
        <f t="shared" si="29"/>
        <v>0</v>
      </c>
    </row>
    <row r="1735" spans="12:12" x14ac:dyDescent="0.35">
      <c r="L1735" s="3">
        <f t="shared" si="29"/>
        <v>0</v>
      </c>
    </row>
    <row r="1736" spans="12:12" x14ac:dyDescent="0.35">
      <c r="L1736" s="3">
        <f t="shared" si="29"/>
        <v>0</v>
      </c>
    </row>
    <row r="1737" spans="12:12" x14ac:dyDescent="0.35">
      <c r="L1737" s="3">
        <f t="shared" si="29"/>
        <v>0</v>
      </c>
    </row>
    <row r="1738" spans="12:12" x14ac:dyDescent="0.35">
      <c r="L1738" s="3">
        <f t="shared" si="29"/>
        <v>0</v>
      </c>
    </row>
    <row r="1739" spans="12:12" x14ac:dyDescent="0.35">
      <c r="L1739" s="3">
        <f t="shared" si="29"/>
        <v>0</v>
      </c>
    </row>
    <row r="1740" spans="12:12" x14ac:dyDescent="0.35">
      <c r="L1740" s="3">
        <f t="shared" si="29"/>
        <v>0</v>
      </c>
    </row>
    <row r="1741" spans="12:12" x14ac:dyDescent="0.35">
      <c r="L1741" s="3">
        <f t="shared" si="29"/>
        <v>0</v>
      </c>
    </row>
    <row r="1742" spans="12:12" x14ac:dyDescent="0.35">
      <c r="L1742" s="3">
        <f t="shared" si="29"/>
        <v>0</v>
      </c>
    </row>
    <row r="1743" spans="12:12" x14ac:dyDescent="0.35">
      <c r="L1743" s="3">
        <f t="shared" si="29"/>
        <v>0</v>
      </c>
    </row>
    <row r="1744" spans="12:12" x14ac:dyDescent="0.35">
      <c r="L1744" s="3">
        <f t="shared" si="29"/>
        <v>0</v>
      </c>
    </row>
    <row r="1745" spans="12:12" x14ac:dyDescent="0.35">
      <c r="L1745" s="3">
        <f t="shared" si="29"/>
        <v>0</v>
      </c>
    </row>
    <row r="1746" spans="12:12" x14ac:dyDescent="0.35">
      <c r="L1746" s="3">
        <f t="shared" si="29"/>
        <v>0</v>
      </c>
    </row>
    <row r="1747" spans="12:12" x14ac:dyDescent="0.35">
      <c r="L1747" s="3">
        <f t="shared" si="29"/>
        <v>0</v>
      </c>
    </row>
    <row r="1748" spans="12:12" x14ac:dyDescent="0.35">
      <c r="L1748" s="3">
        <f t="shared" si="29"/>
        <v>0</v>
      </c>
    </row>
    <row r="1749" spans="12:12" x14ac:dyDescent="0.35">
      <c r="L1749" s="3">
        <f t="shared" si="29"/>
        <v>0</v>
      </c>
    </row>
    <row r="1750" spans="12:12" x14ac:dyDescent="0.35">
      <c r="L1750" s="3">
        <f t="shared" si="29"/>
        <v>0</v>
      </c>
    </row>
    <row r="1751" spans="12:12" x14ac:dyDescent="0.35">
      <c r="L1751" s="3">
        <f t="shared" si="29"/>
        <v>0</v>
      </c>
    </row>
    <row r="1752" spans="12:12" x14ac:dyDescent="0.35">
      <c r="L1752" s="3">
        <f t="shared" si="29"/>
        <v>0</v>
      </c>
    </row>
    <row r="1753" spans="12:12" x14ac:dyDescent="0.35">
      <c r="L1753" s="3">
        <f t="shared" si="29"/>
        <v>0</v>
      </c>
    </row>
    <row r="1754" spans="12:12" x14ac:dyDescent="0.35">
      <c r="L1754" s="3">
        <f t="shared" si="29"/>
        <v>0</v>
      </c>
    </row>
    <row r="1755" spans="12:12" x14ac:dyDescent="0.35">
      <c r="L1755" s="3">
        <f t="shared" si="29"/>
        <v>0</v>
      </c>
    </row>
    <row r="1756" spans="12:12" x14ac:dyDescent="0.35">
      <c r="L1756" s="3">
        <f t="shared" si="29"/>
        <v>0</v>
      </c>
    </row>
    <row r="1757" spans="12:12" x14ac:dyDescent="0.35">
      <c r="L1757" s="3">
        <f t="shared" si="29"/>
        <v>0</v>
      </c>
    </row>
    <row r="1758" spans="12:12" x14ac:dyDescent="0.35">
      <c r="L1758" s="3">
        <f t="shared" si="29"/>
        <v>0</v>
      </c>
    </row>
    <row r="1759" spans="12:12" x14ac:dyDescent="0.35">
      <c r="L1759" s="3">
        <f t="shared" si="29"/>
        <v>0</v>
      </c>
    </row>
    <row r="1760" spans="12:12" x14ac:dyDescent="0.35">
      <c r="L1760" s="3">
        <f t="shared" si="29"/>
        <v>0</v>
      </c>
    </row>
    <row r="1761" spans="12:12" x14ac:dyDescent="0.35">
      <c r="L1761" s="3">
        <f t="shared" si="29"/>
        <v>0</v>
      </c>
    </row>
    <row r="1762" spans="12:12" x14ac:dyDescent="0.35">
      <c r="L1762" s="3">
        <f t="shared" si="29"/>
        <v>0</v>
      </c>
    </row>
    <row r="1763" spans="12:12" x14ac:dyDescent="0.35">
      <c r="L1763" s="3">
        <f t="shared" si="29"/>
        <v>0</v>
      </c>
    </row>
    <row r="1764" spans="12:12" x14ac:dyDescent="0.35">
      <c r="L1764" s="3">
        <f t="shared" si="29"/>
        <v>0</v>
      </c>
    </row>
    <row r="1765" spans="12:12" x14ac:dyDescent="0.35">
      <c r="L1765" s="3">
        <f t="shared" si="29"/>
        <v>0</v>
      </c>
    </row>
    <row r="1766" spans="12:12" x14ac:dyDescent="0.35">
      <c r="L1766" s="3">
        <f t="shared" si="29"/>
        <v>0</v>
      </c>
    </row>
    <row r="1767" spans="12:12" x14ac:dyDescent="0.35">
      <c r="L1767" s="3">
        <f t="shared" si="29"/>
        <v>0</v>
      </c>
    </row>
    <row r="1768" spans="12:12" x14ac:dyDescent="0.35">
      <c r="L1768" s="3">
        <f t="shared" si="29"/>
        <v>0</v>
      </c>
    </row>
    <row r="1769" spans="12:12" x14ac:dyDescent="0.35">
      <c r="L1769" s="3">
        <f t="shared" si="29"/>
        <v>0</v>
      </c>
    </row>
    <row r="1770" spans="12:12" x14ac:dyDescent="0.35">
      <c r="L1770" s="3">
        <f t="shared" si="29"/>
        <v>0</v>
      </c>
    </row>
    <row r="1771" spans="12:12" x14ac:dyDescent="0.35">
      <c r="L1771" s="3">
        <f t="shared" si="29"/>
        <v>0</v>
      </c>
    </row>
    <row r="1772" spans="12:12" x14ac:dyDescent="0.35">
      <c r="L1772" s="3">
        <f t="shared" si="29"/>
        <v>0</v>
      </c>
    </row>
    <row r="1773" spans="12:12" x14ac:dyDescent="0.35">
      <c r="L1773" s="3">
        <f t="shared" si="29"/>
        <v>0</v>
      </c>
    </row>
    <row r="1774" spans="12:12" x14ac:dyDescent="0.35">
      <c r="L1774" s="3">
        <f t="shared" si="29"/>
        <v>0</v>
      </c>
    </row>
    <row r="1775" spans="12:12" x14ac:dyDescent="0.35">
      <c r="L1775" s="3">
        <f t="shared" si="29"/>
        <v>0</v>
      </c>
    </row>
    <row r="1776" spans="12:12" x14ac:dyDescent="0.35">
      <c r="L1776" s="3">
        <f t="shared" si="29"/>
        <v>0</v>
      </c>
    </row>
    <row r="1777" spans="12:12" x14ac:dyDescent="0.35">
      <c r="L1777" s="3">
        <f t="shared" si="29"/>
        <v>0</v>
      </c>
    </row>
    <row r="1778" spans="12:12" x14ac:dyDescent="0.35">
      <c r="L1778" s="3">
        <f t="shared" si="29"/>
        <v>0</v>
      </c>
    </row>
    <row r="1779" spans="12:12" x14ac:dyDescent="0.35">
      <c r="L1779" s="3">
        <f t="shared" si="29"/>
        <v>0</v>
      </c>
    </row>
    <row r="1780" spans="12:12" x14ac:dyDescent="0.35">
      <c r="L1780" s="3">
        <f t="shared" si="29"/>
        <v>0</v>
      </c>
    </row>
    <row r="1781" spans="12:12" x14ac:dyDescent="0.35">
      <c r="L1781" s="3">
        <f t="shared" si="29"/>
        <v>0</v>
      </c>
    </row>
    <row r="1782" spans="12:12" x14ac:dyDescent="0.35">
      <c r="L1782" s="3">
        <f t="shared" si="29"/>
        <v>0</v>
      </c>
    </row>
    <row r="1783" spans="12:12" x14ac:dyDescent="0.35">
      <c r="L1783" s="3">
        <f t="shared" si="29"/>
        <v>0</v>
      </c>
    </row>
    <row r="1784" spans="12:12" x14ac:dyDescent="0.35">
      <c r="L1784" s="3">
        <f t="shared" si="29"/>
        <v>0</v>
      </c>
    </row>
    <row r="1785" spans="12:12" x14ac:dyDescent="0.35">
      <c r="L1785" s="3">
        <f t="shared" si="29"/>
        <v>0</v>
      </c>
    </row>
    <row r="1786" spans="12:12" x14ac:dyDescent="0.35">
      <c r="L1786" s="3">
        <f t="shared" si="29"/>
        <v>0</v>
      </c>
    </row>
    <row r="1787" spans="12:12" x14ac:dyDescent="0.35">
      <c r="L1787" s="3">
        <f t="shared" ref="L1787:L1850" si="30">K1787*C1787</f>
        <v>0</v>
      </c>
    </row>
    <row r="1788" spans="12:12" x14ac:dyDescent="0.35">
      <c r="L1788" s="3">
        <f t="shared" si="30"/>
        <v>0</v>
      </c>
    </row>
    <row r="1789" spans="12:12" x14ac:dyDescent="0.35">
      <c r="L1789" s="3">
        <f t="shared" si="30"/>
        <v>0</v>
      </c>
    </row>
    <row r="1790" spans="12:12" x14ac:dyDescent="0.35">
      <c r="L1790" s="3">
        <f t="shared" si="30"/>
        <v>0</v>
      </c>
    </row>
    <row r="1791" spans="12:12" x14ac:dyDescent="0.35">
      <c r="L1791" s="3">
        <f t="shared" si="30"/>
        <v>0</v>
      </c>
    </row>
    <row r="1792" spans="12:12" x14ac:dyDescent="0.35">
      <c r="L1792" s="3">
        <f t="shared" si="30"/>
        <v>0</v>
      </c>
    </row>
    <row r="1793" spans="12:12" x14ac:dyDescent="0.35">
      <c r="L1793" s="3">
        <f t="shared" si="30"/>
        <v>0</v>
      </c>
    </row>
    <row r="1794" spans="12:12" x14ac:dyDescent="0.35">
      <c r="L1794" s="3">
        <f t="shared" si="30"/>
        <v>0</v>
      </c>
    </row>
    <row r="1795" spans="12:12" x14ac:dyDescent="0.35">
      <c r="L1795" s="3">
        <f t="shared" si="30"/>
        <v>0</v>
      </c>
    </row>
    <row r="1796" spans="12:12" x14ac:dyDescent="0.35">
      <c r="L1796" s="3">
        <f t="shared" si="30"/>
        <v>0</v>
      </c>
    </row>
    <row r="1797" spans="12:12" x14ac:dyDescent="0.35">
      <c r="L1797" s="3">
        <f t="shared" si="30"/>
        <v>0</v>
      </c>
    </row>
    <row r="1798" spans="12:12" x14ac:dyDescent="0.35">
      <c r="L1798" s="3">
        <f t="shared" si="30"/>
        <v>0</v>
      </c>
    </row>
    <row r="1799" spans="12:12" x14ac:dyDescent="0.35">
      <c r="L1799" s="3">
        <f t="shared" si="30"/>
        <v>0</v>
      </c>
    </row>
    <row r="1800" spans="12:12" x14ac:dyDescent="0.35">
      <c r="L1800" s="3">
        <f t="shared" si="30"/>
        <v>0</v>
      </c>
    </row>
    <row r="1801" spans="12:12" x14ac:dyDescent="0.35">
      <c r="L1801" s="3">
        <f t="shared" si="30"/>
        <v>0</v>
      </c>
    </row>
    <row r="1802" spans="12:12" x14ac:dyDescent="0.35">
      <c r="L1802" s="3">
        <f t="shared" si="30"/>
        <v>0</v>
      </c>
    </row>
    <row r="1803" spans="12:12" x14ac:dyDescent="0.35">
      <c r="L1803" s="3">
        <f t="shared" si="30"/>
        <v>0</v>
      </c>
    </row>
    <row r="1804" spans="12:12" x14ac:dyDescent="0.35">
      <c r="L1804" s="3">
        <f t="shared" si="30"/>
        <v>0</v>
      </c>
    </row>
    <row r="1805" spans="12:12" x14ac:dyDescent="0.35">
      <c r="L1805" s="3">
        <f t="shared" si="30"/>
        <v>0</v>
      </c>
    </row>
    <row r="1806" spans="12:12" x14ac:dyDescent="0.35">
      <c r="L1806" s="3">
        <f t="shared" si="30"/>
        <v>0</v>
      </c>
    </row>
    <row r="1807" spans="12:12" x14ac:dyDescent="0.35">
      <c r="L1807" s="3">
        <f t="shared" si="30"/>
        <v>0</v>
      </c>
    </row>
    <row r="1808" spans="12:12" x14ac:dyDescent="0.35">
      <c r="L1808" s="3">
        <f t="shared" si="30"/>
        <v>0</v>
      </c>
    </row>
    <row r="1809" spans="12:12" x14ac:dyDescent="0.35">
      <c r="L1809" s="3">
        <f t="shared" si="30"/>
        <v>0</v>
      </c>
    </row>
    <row r="1810" spans="12:12" x14ac:dyDescent="0.35">
      <c r="L1810" s="3">
        <f t="shared" si="30"/>
        <v>0</v>
      </c>
    </row>
    <row r="1811" spans="12:12" x14ac:dyDescent="0.35">
      <c r="L1811" s="3">
        <f t="shared" si="30"/>
        <v>0</v>
      </c>
    </row>
    <row r="1812" spans="12:12" x14ac:dyDescent="0.35">
      <c r="L1812" s="3">
        <f t="shared" si="30"/>
        <v>0</v>
      </c>
    </row>
    <row r="1813" spans="12:12" x14ac:dyDescent="0.35">
      <c r="L1813" s="3">
        <f t="shared" si="30"/>
        <v>0</v>
      </c>
    </row>
    <row r="1814" spans="12:12" x14ac:dyDescent="0.35">
      <c r="L1814" s="3">
        <f t="shared" si="30"/>
        <v>0</v>
      </c>
    </row>
    <row r="1815" spans="12:12" x14ac:dyDescent="0.35">
      <c r="L1815" s="3">
        <f t="shared" si="30"/>
        <v>0</v>
      </c>
    </row>
    <row r="1816" spans="12:12" x14ac:dyDescent="0.35">
      <c r="L1816" s="3">
        <f t="shared" si="30"/>
        <v>0</v>
      </c>
    </row>
    <row r="1817" spans="12:12" x14ac:dyDescent="0.35">
      <c r="L1817" s="3">
        <f t="shared" si="30"/>
        <v>0</v>
      </c>
    </row>
    <row r="1818" spans="12:12" x14ac:dyDescent="0.35">
      <c r="L1818" s="3">
        <f t="shared" si="30"/>
        <v>0</v>
      </c>
    </row>
    <row r="1819" spans="12:12" x14ac:dyDescent="0.35">
      <c r="L1819" s="3">
        <f t="shared" si="30"/>
        <v>0</v>
      </c>
    </row>
    <row r="1820" spans="12:12" x14ac:dyDescent="0.35">
      <c r="L1820" s="3">
        <f t="shared" si="30"/>
        <v>0</v>
      </c>
    </row>
    <row r="1821" spans="12:12" x14ac:dyDescent="0.35">
      <c r="L1821" s="3">
        <f t="shared" si="30"/>
        <v>0</v>
      </c>
    </row>
    <row r="1822" spans="12:12" x14ac:dyDescent="0.35">
      <c r="L1822" s="3">
        <f t="shared" si="30"/>
        <v>0</v>
      </c>
    </row>
    <row r="1823" spans="12:12" x14ac:dyDescent="0.35">
      <c r="L1823" s="3">
        <f t="shared" si="30"/>
        <v>0</v>
      </c>
    </row>
    <row r="1824" spans="12:12" x14ac:dyDescent="0.35">
      <c r="L1824" s="3">
        <f t="shared" si="30"/>
        <v>0</v>
      </c>
    </row>
    <row r="1825" spans="12:12" x14ac:dyDescent="0.35">
      <c r="L1825" s="3">
        <f t="shared" si="30"/>
        <v>0</v>
      </c>
    </row>
    <row r="1826" spans="12:12" x14ac:dyDescent="0.35">
      <c r="L1826" s="3">
        <f t="shared" si="30"/>
        <v>0</v>
      </c>
    </row>
    <row r="1827" spans="12:12" x14ac:dyDescent="0.35">
      <c r="L1827" s="3">
        <f t="shared" si="30"/>
        <v>0</v>
      </c>
    </row>
    <row r="1828" spans="12:12" x14ac:dyDescent="0.35">
      <c r="L1828" s="3">
        <f t="shared" si="30"/>
        <v>0</v>
      </c>
    </row>
    <row r="1829" spans="12:12" x14ac:dyDescent="0.35">
      <c r="L1829" s="3">
        <f t="shared" si="30"/>
        <v>0</v>
      </c>
    </row>
    <row r="1830" spans="12:12" x14ac:dyDescent="0.35">
      <c r="L1830" s="3">
        <f t="shared" si="30"/>
        <v>0</v>
      </c>
    </row>
    <row r="1831" spans="12:12" x14ac:dyDescent="0.35">
      <c r="L1831" s="3">
        <f t="shared" si="30"/>
        <v>0</v>
      </c>
    </row>
    <row r="1832" spans="12:12" x14ac:dyDescent="0.35">
      <c r="L1832" s="3">
        <f t="shared" si="30"/>
        <v>0</v>
      </c>
    </row>
    <row r="1833" spans="12:12" x14ac:dyDescent="0.35">
      <c r="L1833" s="3">
        <f t="shared" si="30"/>
        <v>0</v>
      </c>
    </row>
    <row r="1834" spans="12:12" x14ac:dyDescent="0.35">
      <c r="L1834" s="3">
        <f t="shared" si="30"/>
        <v>0</v>
      </c>
    </row>
    <row r="1835" spans="12:12" x14ac:dyDescent="0.35">
      <c r="L1835" s="3">
        <f t="shared" si="30"/>
        <v>0</v>
      </c>
    </row>
    <row r="1836" spans="12:12" x14ac:dyDescent="0.35">
      <c r="L1836" s="3">
        <f t="shared" si="30"/>
        <v>0</v>
      </c>
    </row>
    <row r="1837" spans="12:12" x14ac:dyDescent="0.35">
      <c r="L1837" s="3">
        <f t="shared" si="30"/>
        <v>0</v>
      </c>
    </row>
    <row r="1838" spans="12:12" x14ac:dyDescent="0.35">
      <c r="L1838" s="3">
        <f t="shared" si="30"/>
        <v>0</v>
      </c>
    </row>
    <row r="1839" spans="12:12" x14ac:dyDescent="0.35">
      <c r="L1839" s="3">
        <f t="shared" si="30"/>
        <v>0</v>
      </c>
    </row>
    <row r="1840" spans="12:12" x14ac:dyDescent="0.35">
      <c r="L1840" s="3">
        <f t="shared" si="30"/>
        <v>0</v>
      </c>
    </row>
    <row r="1841" spans="12:12" x14ac:dyDescent="0.35">
      <c r="L1841" s="3">
        <f t="shared" si="30"/>
        <v>0</v>
      </c>
    </row>
    <row r="1842" spans="12:12" x14ac:dyDescent="0.35">
      <c r="L1842" s="3">
        <f t="shared" si="30"/>
        <v>0</v>
      </c>
    </row>
    <row r="1843" spans="12:12" x14ac:dyDescent="0.35">
      <c r="L1843" s="3">
        <f t="shared" si="30"/>
        <v>0</v>
      </c>
    </row>
    <row r="1844" spans="12:12" x14ac:dyDescent="0.35">
      <c r="L1844" s="3">
        <f t="shared" si="30"/>
        <v>0</v>
      </c>
    </row>
    <row r="1845" spans="12:12" x14ac:dyDescent="0.35">
      <c r="L1845" s="3">
        <f t="shared" si="30"/>
        <v>0</v>
      </c>
    </row>
    <row r="1846" spans="12:12" x14ac:dyDescent="0.35">
      <c r="L1846" s="3">
        <f t="shared" si="30"/>
        <v>0</v>
      </c>
    </row>
    <row r="1847" spans="12:12" x14ac:dyDescent="0.35">
      <c r="L1847" s="3">
        <f t="shared" si="30"/>
        <v>0</v>
      </c>
    </row>
    <row r="1848" spans="12:12" x14ac:dyDescent="0.35">
      <c r="L1848" s="3">
        <f t="shared" si="30"/>
        <v>0</v>
      </c>
    </row>
    <row r="1849" spans="12:12" x14ac:dyDescent="0.35">
      <c r="L1849" s="3">
        <f t="shared" si="30"/>
        <v>0</v>
      </c>
    </row>
    <row r="1850" spans="12:12" x14ac:dyDescent="0.35">
      <c r="L1850" s="3">
        <f t="shared" si="30"/>
        <v>0</v>
      </c>
    </row>
    <row r="1851" spans="12:12" x14ac:dyDescent="0.35">
      <c r="L1851" s="3">
        <f t="shared" ref="L1851:L1914" si="31">K1851*C1851</f>
        <v>0</v>
      </c>
    </row>
    <row r="1852" spans="12:12" x14ac:dyDescent="0.35">
      <c r="L1852" s="3">
        <f t="shared" si="31"/>
        <v>0</v>
      </c>
    </row>
    <row r="1853" spans="12:12" x14ac:dyDescent="0.35">
      <c r="L1853" s="3">
        <f t="shared" si="31"/>
        <v>0</v>
      </c>
    </row>
    <row r="1854" spans="12:12" x14ac:dyDescent="0.35">
      <c r="L1854" s="3">
        <f t="shared" si="31"/>
        <v>0</v>
      </c>
    </row>
    <row r="1855" spans="12:12" x14ac:dyDescent="0.35">
      <c r="L1855" s="3">
        <f t="shared" si="31"/>
        <v>0</v>
      </c>
    </row>
    <row r="1856" spans="12:12" x14ac:dyDescent="0.35">
      <c r="L1856" s="3">
        <f t="shared" si="31"/>
        <v>0</v>
      </c>
    </row>
    <row r="1857" spans="12:12" x14ac:dyDescent="0.35">
      <c r="L1857" s="3">
        <f t="shared" si="31"/>
        <v>0</v>
      </c>
    </row>
    <row r="1858" spans="12:12" x14ac:dyDescent="0.35">
      <c r="L1858" s="3">
        <f t="shared" si="31"/>
        <v>0</v>
      </c>
    </row>
    <row r="1859" spans="12:12" x14ac:dyDescent="0.35">
      <c r="L1859" s="3">
        <f t="shared" si="31"/>
        <v>0</v>
      </c>
    </row>
    <row r="1860" spans="12:12" x14ac:dyDescent="0.35">
      <c r="L1860" s="3">
        <f t="shared" si="31"/>
        <v>0</v>
      </c>
    </row>
    <row r="1861" spans="12:12" x14ac:dyDescent="0.35">
      <c r="L1861" s="3">
        <f t="shared" si="31"/>
        <v>0</v>
      </c>
    </row>
    <row r="1862" spans="12:12" x14ac:dyDescent="0.35">
      <c r="L1862" s="3">
        <f t="shared" si="31"/>
        <v>0</v>
      </c>
    </row>
    <row r="1863" spans="12:12" x14ac:dyDescent="0.35">
      <c r="L1863" s="3">
        <f t="shared" si="31"/>
        <v>0</v>
      </c>
    </row>
    <row r="1864" spans="12:12" x14ac:dyDescent="0.35">
      <c r="L1864" s="3">
        <f t="shared" si="31"/>
        <v>0</v>
      </c>
    </row>
    <row r="1865" spans="12:12" x14ac:dyDescent="0.35">
      <c r="L1865" s="3">
        <f t="shared" si="31"/>
        <v>0</v>
      </c>
    </row>
    <row r="1866" spans="12:12" x14ac:dyDescent="0.35">
      <c r="L1866" s="3">
        <f t="shared" si="31"/>
        <v>0</v>
      </c>
    </row>
    <row r="1867" spans="12:12" x14ac:dyDescent="0.35">
      <c r="L1867" s="3">
        <f t="shared" si="31"/>
        <v>0</v>
      </c>
    </row>
    <row r="1868" spans="12:12" x14ac:dyDescent="0.35">
      <c r="L1868" s="3">
        <f t="shared" si="31"/>
        <v>0</v>
      </c>
    </row>
    <row r="1869" spans="12:12" x14ac:dyDescent="0.35">
      <c r="L1869" s="3">
        <f t="shared" si="31"/>
        <v>0</v>
      </c>
    </row>
    <row r="1870" spans="12:12" x14ac:dyDescent="0.35">
      <c r="L1870" s="3">
        <f t="shared" si="31"/>
        <v>0</v>
      </c>
    </row>
    <row r="1871" spans="12:12" x14ac:dyDescent="0.35">
      <c r="L1871" s="3">
        <f t="shared" si="31"/>
        <v>0</v>
      </c>
    </row>
    <row r="1872" spans="12:12" x14ac:dyDescent="0.35">
      <c r="L1872" s="3">
        <f t="shared" si="31"/>
        <v>0</v>
      </c>
    </row>
    <row r="1873" spans="12:12" x14ac:dyDescent="0.35">
      <c r="L1873" s="3">
        <f t="shared" si="31"/>
        <v>0</v>
      </c>
    </row>
    <row r="1874" spans="12:12" x14ac:dyDescent="0.35">
      <c r="L1874" s="3">
        <f t="shared" si="31"/>
        <v>0</v>
      </c>
    </row>
    <row r="1875" spans="12:12" x14ac:dyDescent="0.35">
      <c r="L1875" s="3">
        <f t="shared" si="31"/>
        <v>0</v>
      </c>
    </row>
    <row r="1876" spans="12:12" x14ac:dyDescent="0.35">
      <c r="L1876" s="3">
        <f t="shared" si="31"/>
        <v>0</v>
      </c>
    </row>
    <row r="1877" spans="12:12" x14ac:dyDescent="0.35">
      <c r="L1877" s="3">
        <f t="shared" si="31"/>
        <v>0</v>
      </c>
    </row>
    <row r="1878" spans="12:12" x14ac:dyDescent="0.35">
      <c r="L1878" s="3">
        <f t="shared" si="31"/>
        <v>0</v>
      </c>
    </row>
    <row r="1879" spans="12:12" x14ac:dyDescent="0.35">
      <c r="L1879" s="3">
        <f t="shared" si="31"/>
        <v>0</v>
      </c>
    </row>
    <row r="1880" spans="12:12" x14ac:dyDescent="0.35">
      <c r="L1880" s="3">
        <f t="shared" si="31"/>
        <v>0</v>
      </c>
    </row>
    <row r="1881" spans="12:12" x14ac:dyDescent="0.35">
      <c r="L1881" s="3">
        <f t="shared" si="31"/>
        <v>0</v>
      </c>
    </row>
    <row r="1882" spans="12:12" x14ac:dyDescent="0.35">
      <c r="L1882" s="3">
        <f t="shared" si="31"/>
        <v>0</v>
      </c>
    </row>
    <row r="1883" spans="12:12" x14ac:dyDescent="0.35">
      <c r="L1883" s="3">
        <f t="shared" si="31"/>
        <v>0</v>
      </c>
    </row>
    <row r="1884" spans="12:12" x14ac:dyDescent="0.35">
      <c r="L1884" s="3">
        <f t="shared" si="31"/>
        <v>0</v>
      </c>
    </row>
    <row r="1885" spans="12:12" x14ac:dyDescent="0.35">
      <c r="L1885" s="3">
        <f t="shared" si="31"/>
        <v>0</v>
      </c>
    </row>
    <row r="1886" spans="12:12" x14ac:dyDescent="0.35">
      <c r="L1886" s="3">
        <f t="shared" si="31"/>
        <v>0</v>
      </c>
    </row>
    <row r="1887" spans="12:12" x14ac:dyDescent="0.35">
      <c r="L1887" s="3">
        <f t="shared" si="31"/>
        <v>0</v>
      </c>
    </row>
    <row r="1888" spans="12:12" x14ac:dyDescent="0.35">
      <c r="L1888" s="3">
        <f t="shared" si="31"/>
        <v>0</v>
      </c>
    </row>
    <row r="1889" spans="12:12" x14ac:dyDescent="0.35">
      <c r="L1889" s="3">
        <f t="shared" si="31"/>
        <v>0</v>
      </c>
    </row>
    <row r="1890" spans="12:12" x14ac:dyDescent="0.35">
      <c r="L1890" s="3">
        <f t="shared" si="31"/>
        <v>0</v>
      </c>
    </row>
    <row r="1891" spans="12:12" x14ac:dyDescent="0.35">
      <c r="L1891" s="3">
        <f t="shared" si="31"/>
        <v>0</v>
      </c>
    </row>
    <row r="1892" spans="12:12" x14ac:dyDescent="0.35">
      <c r="L1892" s="3">
        <f t="shared" si="31"/>
        <v>0</v>
      </c>
    </row>
    <row r="1893" spans="12:12" x14ac:dyDescent="0.35">
      <c r="L1893" s="3">
        <f t="shared" si="31"/>
        <v>0</v>
      </c>
    </row>
    <row r="1894" spans="12:12" x14ac:dyDescent="0.35">
      <c r="L1894" s="3">
        <f t="shared" si="31"/>
        <v>0</v>
      </c>
    </row>
    <row r="1895" spans="12:12" x14ac:dyDescent="0.35">
      <c r="L1895" s="3">
        <f t="shared" si="31"/>
        <v>0</v>
      </c>
    </row>
    <row r="1896" spans="12:12" x14ac:dyDescent="0.35">
      <c r="L1896" s="3">
        <f t="shared" si="31"/>
        <v>0</v>
      </c>
    </row>
    <row r="1897" spans="12:12" x14ac:dyDescent="0.35">
      <c r="L1897" s="3">
        <f t="shared" si="31"/>
        <v>0</v>
      </c>
    </row>
    <row r="1898" spans="12:12" x14ac:dyDescent="0.35">
      <c r="L1898" s="3">
        <f t="shared" si="31"/>
        <v>0</v>
      </c>
    </row>
    <row r="1899" spans="12:12" x14ac:dyDescent="0.35">
      <c r="L1899" s="3">
        <f t="shared" si="31"/>
        <v>0</v>
      </c>
    </row>
    <row r="1900" spans="12:12" x14ac:dyDescent="0.35">
      <c r="L1900" s="3">
        <f t="shared" si="31"/>
        <v>0</v>
      </c>
    </row>
    <row r="1901" spans="12:12" x14ac:dyDescent="0.35">
      <c r="L1901" s="3">
        <f t="shared" si="31"/>
        <v>0</v>
      </c>
    </row>
    <row r="1902" spans="12:12" x14ac:dyDescent="0.35">
      <c r="L1902" s="3">
        <f t="shared" si="31"/>
        <v>0</v>
      </c>
    </row>
    <row r="1903" spans="12:12" x14ac:dyDescent="0.35">
      <c r="L1903" s="3">
        <f t="shared" si="31"/>
        <v>0</v>
      </c>
    </row>
    <row r="1904" spans="12:12" x14ac:dyDescent="0.35">
      <c r="L1904" s="3">
        <f t="shared" si="31"/>
        <v>0</v>
      </c>
    </row>
    <row r="1905" spans="12:12" x14ac:dyDescent="0.35">
      <c r="L1905" s="3">
        <f t="shared" si="31"/>
        <v>0</v>
      </c>
    </row>
    <row r="1906" spans="12:12" x14ac:dyDescent="0.35">
      <c r="L1906" s="3">
        <f t="shared" si="31"/>
        <v>0</v>
      </c>
    </row>
    <row r="1907" spans="12:12" x14ac:dyDescent="0.35">
      <c r="L1907" s="3">
        <f t="shared" si="31"/>
        <v>0</v>
      </c>
    </row>
    <row r="1908" spans="12:12" x14ac:dyDescent="0.35">
      <c r="L1908" s="3">
        <f t="shared" si="31"/>
        <v>0</v>
      </c>
    </row>
    <row r="1909" spans="12:12" x14ac:dyDescent="0.35">
      <c r="L1909" s="3">
        <f t="shared" si="31"/>
        <v>0</v>
      </c>
    </row>
    <row r="1910" spans="12:12" x14ac:dyDescent="0.35">
      <c r="L1910" s="3">
        <f t="shared" si="31"/>
        <v>0</v>
      </c>
    </row>
    <row r="1911" spans="12:12" x14ac:dyDescent="0.35">
      <c r="L1911" s="3">
        <f t="shared" si="31"/>
        <v>0</v>
      </c>
    </row>
    <row r="1912" spans="12:12" x14ac:dyDescent="0.35">
      <c r="L1912" s="3">
        <f t="shared" si="31"/>
        <v>0</v>
      </c>
    </row>
    <row r="1913" spans="12:12" x14ac:dyDescent="0.35">
      <c r="L1913" s="3">
        <f t="shared" si="31"/>
        <v>0</v>
      </c>
    </row>
    <row r="1914" spans="12:12" x14ac:dyDescent="0.35">
      <c r="L1914" s="3">
        <f t="shared" si="31"/>
        <v>0</v>
      </c>
    </row>
    <row r="1915" spans="12:12" x14ac:dyDescent="0.35">
      <c r="L1915" s="3">
        <f t="shared" ref="L1915:L1978" si="32">K1915*C1915</f>
        <v>0</v>
      </c>
    </row>
    <row r="1916" spans="12:12" x14ac:dyDescent="0.35">
      <c r="L1916" s="3">
        <f t="shared" si="32"/>
        <v>0</v>
      </c>
    </row>
    <row r="1917" spans="12:12" x14ac:dyDescent="0.35">
      <c r="L1917" s="3">
        <f t="shared" si="32"/>
        <v>0</v>
      </c>
    </row>
    <row r="1918" spans="12:12" x14ac:dyDescent="0.35">
      <c r="L1918" s="3">
        <f t="shared" si="32"/>
        <v>0</v>
      </c>
    </row>
    <row r="1919" spans="12:12" x14ac:dyDescent="0.35">
      <c r="L1919" s="3">
        <f t="shared" si="32"/>
        <v>0</v>
      </c>
    </row>
    <row r="1920" spans="12:12" x14ac:dyDescent="0.35">
      <c r="L1920" s="3">
        <f t="shared" si="32"/>
        <v>0</v>
      </c>
    </row>
    <row r="1921" spans="12:12" x14ac:dyDescent="0.35">
      <c r="L1921" s="3">
        <f t="shared" si="32"/>
        <v>0</v>
      </c>
    </row>
    <row r="1922" spans="12:12" x14ac:dyDescent="0.35">
      <c r="L1922" s="3">
        <f t="shared" si="32"/>
        <v>0</v>
      </c>
    </row>
    <row r="1923" spans="12:12" x14ac:dyDescent="0.35">
      <c r="L1923" s="3">
        <f t="shared" si="32"/>
        <v>0</v>
      </c>
    </row>
    <row r="1924" spans="12:12" x14ac:dyDescent="0.35">
      <c r="L1924" s="3">
        <f t="shared" si="32"/>
        <v>0</v>
      </c>
    </row>
    <row r="1925" spans="12:12" x14ac:dyDescent="0.35">
      <c r="L1925" s="3">
        <f t="shared" si="32"/>
        <v>0</v>
      </c>
    </row>
    <row r="1926" spans="12:12" x14ac:dyDescent="0.35">
      <c r="L1926" s="3">
        <f t="shared" si="32"/>
        <v>0</v>
      </c>
    </row>
    <row r="1927" spans="12:12" x14ac:dyDescent="0.35">
      <c r="L1927" s="3">
        <f t="shared" si="32"/>
        <v>0</v>
      </c>
    </row>
    <row r="1928" spans="12:12" x14ac:dyDescent="0.35">
      <c r="L1928" s="3">
        <f t="shared" si="32"/>
        <v>0</v>
      </c>
    </row>
    <row r="1929" spans="12:12" x14ac:dyDescent="0.35">
      <c r="L1929" s="3">
        <f t="shared" si="32"/>
        <v>0</v>
      </c>
    </row>
    <row r="1930" spans="12:12" x14ac:dyDescent="0.35">
      <c r="L1930" s="3">
        <f t="shared" si="32"/>
        <v>0</v>
      </c>
    </row>
    <row r="1931" spans="12:12" x14ac:dyDescent="0.35">
      <c r="L1931" s="3">
        <f t="shared" si="32"/>
        <v>0</v>
      </c>
    </row>
    <row r="1932" spans="12:12" x14ac:dyDescent="0.35">
      <c r="L1932" s="3">
        <f t="shared" si="32"/>
        <v>0</v>
      </c>
    </row>
    <row r="1933" spans="12:12" x14ac:dyDescent="0.35">
      <c r="L1933" s="3">
        <f t="shared" si="32"/>
        <v>0</v>
      </c>
    </row>
    <row r="1934" spans="12:12" x14ac:dyDescent="0.35">
      <c r="L1934" s="3">
        <f t="shared" si="32"/>
        <v>0</v>
      </c>
    </row>
    <row r="1935" spans="12:12" x14ac:dyDescent="0.35">
      <c r="L1935" s="3">
        <f t="shared" si="32"/>
        <v>0</v>
      </c>
    </row>
    <row r="1936" spans="12:12" x14ac:dyDescent="0.35">
      <c r="L1936" s="3">
        <f t="shared" si="32"/>
        <v>0</v>
      </c>
    </row>
    <row r="1937" spans="12:12" x14ac:dyDescent="0.35">
      <c r="L1937" s="3">
        <f t="shared" si="32"/>
        <v>0</v>
      </c>
    </row>
    <row r="1938" spans="12:12" x14ac:dyDescent="0.35">
      <c r="L1938" s="3">
        <f t="shared" si="32"/>
        <v>0</v>
      </c>
    </row>
    <row r="1939" spans="12:12" x14ac:dyDescent="0.35">
      <c r="L1939" s="3">
        <f t="shared" si="32"/>
        <v>0</v>
      </c>
    </row>
    <row r="1940" spans="12:12" x14ac:dyDescent="0.35">
      <c r="L1940" s="3">
        <f t="shared" si="32"/>
        <v>0</v>
      </c>
    </row>
    <row r="1941" spans="12:12" x14ac:dyDescent="0.35">
      <c r="L1941" s="3">
        <f t="shared" si="32"/>
        <v>0</v>
      </c>
    </row>
    <row r="1942" spans="12:12" x14ac:dyDescent="0.35">
      <c r="L1942" s="3">
        <f t="shared" si="32"/>
        <v>0</v>
      </c>
    </row>
    <row r="1943" spans="12:12" x14ac:dyDescent="0.35">
      <c r="L1943" s="3">
        <f t="shared" si="32"/>
        <v>0</v>
      </c>
    </row>
    <row r="1944" spans="12:12" x14ac:dyDescent="0.35">
      <c r="L1944" s="3">
        <f t="shared" si="32"/>
        <v>0</v>
      </c>
    </row>
    <row r="1945" spans="12:12" x14ac:dyDescent="0.35">
      <c r="L1945" s="3">
        <f t="shared" si="32"/>
        <v>0</v>
      </c>
    </row>
    <row r="1946" spans="12:12" x14ac:dyDescent="0.35">
      <c r="L1946" s="3">
        <f t="shared" si="32"/>
        <v>0</v>
      </c>
    </row>
    <row r="1947" spans="12:12" x14ac:dyDescent="0.35">
      <c r="L1947" s="3">
        <f t="shared" si="32"/>
        <v>0</v>
      </c>
    </row>
    <row r="1948" spans="12:12" x14ac:dyDescent="0.35">
      <c r="L1948" s="3">
        <f t="shared" si="32"/>
        <v>0</v>
      </c>
    </row>
    <row r="1949" spans="12:12" x14ac:dyDescent="0.35">
      <c r="L1949" s="3">
        <f t="shared" si="32"/>
        <v>0</v>
      </c>
    </row>
    <row r="1950" spans="12:12" x14ac:dyDescent="0.35">
      <c r="L1950" s="3">
        <f t="shared" si="32"/>
        <v>0</v>
      </c>
    </row>
    <row r="1951" spans="12:12" x14ac:dyDescent="0.35">
      <c r="L1951" s="3">
        <f t="shared" si="32"/>
        <v>0</v>
      </c>
    </row>
    <row r="1952" spans="12:12" x14ac:dyDescent="0.35">
      <c r="L1952" s="3">
        <f t="shared" si="32"/>
        <v>0</v>
      </c>
    </row>
    <row r="1953" spans="12:12" x14ac:dyDescent="0.35">
      <c r="L1953" s="3">
        <f t="shared" si="32"/>
        <v>0</v>
      </c>
    </row>
    <row r="1954" spans="12:12" x14ac:dyDescent="0.35">
      <c r="L1954" s="3">
        <f t="shared" si="32"/>
        <v>0</v>
      </c>
    </row>
    <row r="1955" spans="12:12" x14ac:dyDescent="0.35">
      <c r="L1955" s="3">
        <f t="shared" si="32"/>
        <v>0</v>
      </c>
    </row>
    <row r="1956" spans="12:12" x14ac:dyDescent="0.35">
      <c r="L1956" s="3">
        <f t="shared" si="32"/>
        <v>0</v>
      </c>
    </row>
    <row r="1957" spans="12:12" x14ac:dyDescent="0.35">
      <c r="L1957" s="3">
        <f t="shared" si="32"/>
        <v>0</v>
      </c>
    </row>
    <row r="1958" spans="12:12" x14ac:dyDescent="0.35">
      <c r="L1958" s="3">
        <f t="shared" si="32"/>
        <v>0</v>
      </c>
    </row>
    <row r="1959" spans="12:12" x14ac:dyDescent="0.35">
      <c r="L1959" s="3">
        <f t="shared" si="32"/>
        <v>0</v>
      </c>
    </row>
    <row r="1960" spans="12:12" x14ac:dyDescent="0.35">
      <c r="L1960" s="3">
        <f t="shared" si="32"/>
        <v>0</v>
      </c>
    </row>
    <row r="1961" spans="12:12" x14ac:dyDescent="0.35">
      <c r="L1961" s="3">
        <f t="shared" si="32"/>
        <v>0</v>
      </c>
    </row>
    <row r="1962" spans="12:12" x14ac:dyDescent="0.35">
      <c r="L1962" s="3">
        <f t="shared" si="32"/>
        <v>0</v>
      </c>
    </row>
    <row r="1963" spans="12:12" x14ac:dyDescent="0.35">
      <c r="L1963" s="3">
        <f t="shared" si="32"/>
        <v>0</v>
      </c>
    </row>
    <row r="1964" spans="12:12" x14ac:dyDescent="0.35">
      <c r="L1964" s="3">
        <f t="shared" si="32"/>
        <v>0</v>
      </c>
    </row>
    <row r="1965" spans="12:12" x14ac:dyDescent="0.35">
      <c r="L1965" s="3">
        <f t="shared" si="32"/>
        <v>0</v>
      </c>
    </row>
    <row r="1966" spans="12:12" x14ac:dyDescent="0.35">
      <c r="L1966" s="3">
        <f t="shared" si="32"/>
        <v>0</v>
      </c>
    </row>
    <row r="1967" spans="12:12" x14ac:dyDescent="0.35">
      <c r="L1967" s="3">
        <f t="shared" si="32"/>
        <v>0</v>
      </c>
    </row>
    <row r="1968" spans="12:12" x14ac:dyDescent="0.35">
      <c r="L1968" s="3">
        <f t="shared" si="32"/>
        <v>0</v>
      </c>
    </row>
    <row r="1969" spans="12:12" x14ac:dyDescent="0.35">
      <c r="L1969" s="3">
        <f t="shared" si="32"/>
        <v>0</v>
      </c>
    </row>
    <row r="1970" spans="12:12" x14ac:dyDescent="0.35">
      <c r="L1970" s="3">
        <f t="shared" si="32"/>
        <v>0</v>
      </c>
    </row>
    <row r="1971" spans="12:12" x14ac:dyDescent="0.35">
      <c r="L1971" s="3">
        <f t="shared" si="32"/>
        <v>0</v>
      </c>
    </row>
    <row r="1972" spans="12:12" x14ac:dyDescent="0.35">
      <c r="L1972" s="3">
        <f t="shared" si="32"/>
        <v>0</v>
      </c>
    </row>
    <row r="1973" spans="12:12" x14ac:dyDescent="0.35">
      <c r="L1973" s="3">
        <f t="shared" si="32"/>
        <v>0</v>
      </c>
    </row>
    <row r="1974" spans="12:12" x14ac:dyDescent="0.35">
      <c r="L1974" s="3">
        <f t="shared" si="32"/>
        <v>0</v>
      </c>
    </row>
    <row r="1975" spans="12:12" x14ac:dyDescent="0.35">
      <c r="L1975" s="3">
        <f t="shared" si="32"/>
        <v>0</v>
      </c>
    </row>
    <row r="1976" spans="12:12" x14ac:dyDescent="0.35">
      <c r="L1976" s="3">
        <f t="shared" si="32"/>
        <v>0</v>
      </c>
    </row>
    <row r="1977" spans="12:12" x14ac:dyDescent="0.35">
      <c r="L1977" s="3">
        <f t="shared" si="32"/>
        <v>0</v>
      </c>
    </row>
    <row r="1978" spans="12:12" x14ac:dyDescent="0.35">
      <c r="L1978" s="3">
        <f t="shared" si="32"/>
        <v>0</v>
      </c>
    </row>
    <row r="1979" spans="12:12" x14ac:dyDescent="0.35">
      <c r="L1979" s="3">
        <f t="shared" ref="L1979:L2042" si="33">K1979*C1979</f>
        <v>0</v>
      </c>
    </row>
    <row r="1980" spans="12:12" x14ac:dyDescent="0.35">
      <c r="L1980" s="3">
        <f t="shared" si="33"/>
        <v>0</v>
      </c>
    </row>
    <row r="1981" spans="12:12" x14ac:dyDescent="0.35">
      <c r="L1981" s="3">
        <f t="shared" si="33"/>
        <v>0</v>
      </c>
    </row>
    <row r="1982" spans="12:12" x14ac:dyDescent="0.35">
      <c r="L1982" s="3">
        <f t="shared" si="33"/>
        <v>0</v>
      </c>
    </row>
    <row r="1983" spans="12:12" x14ac:dyDescent="0.35">
      <c r="L1983" s="3">
        <f t="shared" si="33"/>
        <v>0</v>
      </c>
    </row>
    <row r="1984" spans="12:12" x14ac:dyDescent="0.35">
      <c r="L1984" s="3">
        <f t="shared" si="33"/>
        <v>0</v>
      </c>
    </row>
    <row r="1985" spans="12:12" x14ac:dyDescent="0.35">
      <c r="L1985" s="3">
        <f t="shared" si="33"/>
        <v>0</v>
      </c>
    </row>
    <row r="1986" spans="12:12" x14ac:dyDescent="0.35">
      <c r="L1986" s="3">
        <f t="shared" si="33"/>
        <v>0</v>
      </c>
    </row>
    <row r="1987" spans="12:12" x14ac:dyDescent="0.35">
      <c r="L1987" s="3">
        <f t="shared" si="33"/>
        <v>0</v>
      </c>
    </row>
    <row r="1988" spans="12:12" x14ac:dyDescent="0.35">
      <c r="L1988" s="3">
        <f t="shared" si="33"/>
        <v>0</v>
      </c>
    </row>
    <row r="1989" spans="12:12" x14ac:dyDescent="0.35">
      <c r="L1989" s="3">
        <f t="shared" si="33"/>
        <v>0</v>
      </c>
    </row>
    <row r="1990" spans="12:12" x14ac:dyDescent="0.35">
      <c r="L1990" s="3">
        <f t="shared" si="33"/>
        <v>0</v>
      </c>
    </row>
    <row r="1991" spans="12:12" x14ac:dyDescent="0.35">
      <c r="L1991" s="3">
        <f t="shared" si="33"/>
        <v>0</v>
      </c>
    </row>
    <row r="1992" spans="12:12" x14ac:dyDescent="0.35">
      <c r="L1992" s="3">
        <f t="shared" si="33"/>
        <v>0</v>
      </c>
    </row>
    <row r="1993" spans="12:12" x14ac:dyDescent="0.35">
      <c r="L1993" s="3">
        <f t="shared" si="33"/>
        <v>0</v>
      </c>
    </row>
    <row r="1994" spans="12:12" x14ac:dyDescent="0.35">
      <c r="L1994" s="3">
        <f t="shared" si="33"/>
        <v>0</v>
      </c>
    </row>
    <row r="1995" spans="12:12" x14ac:dyDescent="0.35">
      <c r="L1995" s="3">
        <f t="shared" si="33"/>
        <v>0</v>
      </c>
    </row>
    <row r="1996" spans="12:12" x14ac:dyDescent="0.35">
      <c r="L1996" s="3">
        <f t="shared" si="33"/>
        <v>0</v>
      </c>
    </row>
    <row r="1997" spans="12:12" x14ac:dyDescent="0.35">
      <c r="L1997" s="3">
        <f t="shared" si="33"/>
        <v>0</v>
      </c>
    </row>
    <row r="1998" spans="12:12" x14ac:dyDescent="0.35">
      <c r="L1998" s="3">
        <f t="shared" si="33"/>
        <v>0</v>
      </c>
    </row>
    <row r="1999" spans="12:12" x14ac:dyDescent="0.35">
      <c r="L1999" s="3">
        <f t="shared" si="33"/>
        <v>0</v>
      </c>
    </row>
    <row r="2000" spans="12:12" x14ac:dyDescent="0.35">
      <c r="L2000" s="3">
        <f t="shared" si="33"/>
        <v>0</v>
      </c>
    </row>
    <row r="2001" spans="12:12" x14ac:dyDescent="0.35">
      <c r="L2001" s="3">
        <f t="shared" si="33"/>
        <v>0</v>
      </c>
    </row>
    <row r="2002" spans="12:12" x14ac:dyDescent="0.35">
      <c r="L2002" s="3">
        <f t="shared" si="33"/>
        <v>0</v>
      </c>
    </row>
    <row r="2003" spans="12:12" x14ac:dyDescent="0.35">
      <c r="L2003" s="3">
        <f t="shared" si="33"/>
        <v>0</v>
      </c>
    </row>
    <row r="2004" spans="12:12" x14ac:dyDescent="0.35">
      <c r="L2004" s="3">
        <f t="shared" si="33"/>
        <v>0</v>
      </c>
    </row>
    <row r="2005" spans="12:12" x14ac:dyDescent="0.35">
      <c r="L2005" s="3">
        <f t="shared" si="33"/>
        <v>0</v>
      </c>
    </row>
    <row r="2006" spans="12:12" x14ac:dyDescent="0.35">
      <c r="L2006" s="3">
        <f t="shared" si="33"/>
        <v>0</v>
      </c>
    </row>
    <row r="2007" spans="12:12" x14ac:dyDescent="0.35">
      <c r="L2007" s="3">
        <f t="shared" si="33"/>
        <v>0</v>
      </c>
    </row>
    <row r="2008" spans="12:12" x14ac:dyDescent="0.35">
      <c r="L2008" s="3">
        <f t="shared" si="33"/>
        <v>0</v>
      </c>
    </row>
    <row r="2009" spans="12:12" x14ac:dyDescent="0.35">
      <c r="L2009" s="3">
        <f t="shared" si="33"/>
        <v>0</v>
      </c>
    </row>
    <row r="2010" spans="12:12" x14ac:dyDescent="0.35">
      <c r="L2010" s="3">
        <f t="shared" si="33"/>
        <v>0</v>
      </c>
    </row>
    <row r="2011" spans="12:12" x14ac:dyDescent="0.35">
      <c r="L2011" s="3">
        <f t="shared" si="33"/>
        <v>0</v>
      </c>
    </row>
    <row r="2012" spans="12:12" x14ac:dyDescent="0.35">
      <c r="L2012" s="3">
        <f t="shared" si="33"/>
        <v>0</v>
      </c>
    </row>
    <row r="2013" spans="12:12" x14ac:dyDescent="0.35">
      <c r="L2013" s="3">
        <f t="shared" si="33"/>
        <v>0</v>
      </c>
    </row>
    <row r="2014" spans="12:12" x14ac:dyDescent="0.35">
      <c r="L2014" s="3">
        <f t="shared" si="33"/>
        <v>0</v>
      </c>
    </row>
    <row r="2015" spans="12:12" x14ac:dyDescent="0.35">
      <c r="L2015" s="3">
        <f t="shared" si="33"/>
        <v>0</v>
      </c>
    </row>
    <row r="2016" spans="12:12" x14ac:dyDescent="0.35">
      <c r="L2016" s="3">
        <f t="shared" si="33"/>
        <v>0</v>
      </c>
    </row>
    <row r="2017" spans="12:12" x14ac:dyDescent="0.35">
      <c r="L2017" s="3">
        <f t="shared" si="33"/>
        <v>0</v>
      </c>
    </row>
    <row r="2018" spans="12:12" x14ac:dyDescent="0.35">
      <c r="L2018" s="3">
        <f t="shared" si="33"/>
        <v>0</v>
      </c>
    </row>
    <row r="2019" spans="12:12" x14ac:dyDescent="0.35">
      <c r="L2019" s="3">
        <f t="shared" si="33"/>
        <v>0</v>
      </c>
    </row>
    <row r="2020" spans="12:12" x14ac:dyDescent="0.35">
      <c r="L2020" s="3">
        <f t="shared" si="33"/>
        <v>0</v>
      </c>
    </row>
    <row r="2021" spans="12:12" x14ac:dyDescent="0.35">
      <c r="L2021" s="3">
        <f t="shared" si="33"/>
        <v>0</v>
      </c>
    </row>
    <row r="2022" spans="12:12" x14ac:dyDescent="0.35">
      <c r="L2022" s="3">
        <f t="shared" si="33"/>
        <v>0</v>
      </c>
    </row>
    <row r="2023" spans="12:12" x14ac:dyDescent="0.35">
      <c r="L2023" s="3">
        <f t="shared" si="33"/>
        <v>0</v>
      </c>
    </row>
    <row r="2024" spans="12:12" x14ac:dyDescent="0.35">
      <c r="L2024" s="3">
        <f t="shared" si="33"/>
        <v>0</v>
      </c>
    </row>
    <row r="2025" spans="12:12" x14ac:dyDescent="0.35">
      <c r="L2025" s="3">
        <f t="shared" si="33"/>
        <v>0</v>
      </c>
    </row>
    <row r="2026" spans="12:12" x14ac:dyDescent="0.35">
      <c r="L2026" s="3">
        <f t="shared" si="33"/>
        <v>0</v>
      </c>
    </row>
    <row r="2027" spans="12:12" x14ac:dyDescent="0.35">
      <c r="L2027" s="3">
        <f t="shared" si="33"/>
        <v>0</v>
      </c>
    </row>
    <row r="2028" spans="12:12" x14ac:dyDescent="0.35">
      <c r="L2028" s="3">
        <f t="shared" si="33"/>
        <v>0</v>
      </c>
    </row>
    <row r="2029" spans="12:12" x14ac:dyDescent="0.35">
      <c r="L2029" s="3">
        <f t="shared" si="33"/>
        <v>0</v>
      </c>
    </row>
    <row r="2030" spans="12:12" x14ac:dyDescent="0.35">
      <c r="L2030" s="3">
        <f t="shared" si="33"/>
        <v>0</v>
      </c>
    </row>
    <row r="2031" spans="12:12" x14ac:dyDescent="0.35">
      <c r="L2031" s="3">
        <f t="shared" si="33"/>
        <v>0</v>
      </c>
    </row>
    <row r="2032" spans="12:12" x14ac:dyDescent="0.35">
      <c r="L2032" s="3">
        <f t="shared" si="33"/>
        <v>0</v>
      </c>
    </row>
    <row r="2033" spans="12:12" x14ac:dyDescent="0.35">
      <c r="L2033" s="3">
        <f t="shared" si="33"/>
        <v>0</v>
      </c>
    </row>
    <row r="2034" spans="12:12" x14ac:dyDescent="0.35">
      <c r="L2034" s="3">
        <f t="shared" si="33"/>
        <v>0</v>
      </c>
    </row>
    <row r="2035" spans="12:12" x14ac:dyDescent="0.35">
      <c r="L2035" s="3">
        <f t="shared" si="33"/>
        <v>0</v>
      </c>
    </row>
    <row r="2036" spans="12:12" x14ac:dyDescent="0.35">
      <c r="L2036" s="3">
        <f t="shared" si="33"/>
        <v>0</v>
      </c>
    </row>
    <row r="2037" spans="12:12" x14ac:dyDescent="0.35">
      <c r="L2037" s="3">
        <f t="shared" si="33"/>
        <v>0</v>
      </c>
    </row>
    <row r="2038" spans="12:12" x14ac:dyDescent="0.35">
      <c r="L2038" s="3">
        <f t="shared" si="33"/>
        <v>0</v>
      </c>
    </row>
    <row r="2039" spans="12:12" x14ac:dyDescent="0.35">
      <c r="L2039" s="3">
        <f t="shared" si="33"/>
        <v>0</v>
      </c>
    </row>
    <row r="2040" spans="12:12" x14ac:dyDescent="0.35">
      <c r="L2040" s="3">
        <f t="shared" si="33"/>
        <v>0</v>
      </c>
    </row>
    <row r="2041" spans="12:12" x14ac:dyDescent="0.35">
      <c r="L2041" s="3">
        <f t="shared" si="33"/>
        <v>0</v>
      </c>
    </row>
    <row r="2042" spans="12:12" x14ac:dyDescent="0.35">
      <c r="L2042" s="3">
        <f t="shared" si="33"/>
        <v>0</v>
      </c>
    </row>
    <row r="2043" spans="12:12" x14ac:dyDescent="0.35">
      <c r="L2043" s="3">
        <f t="shared" ref="L2043:L2106" si="34">K2043*C2043</f>
        <v>0</v>
      </c>
    </row>
    <row r="2044" spans="12:12" x14ac:dyDescent="0.35">
      <c r="L2044" s="3">
        <f t="shared" si="34"/>
        <v>0</v>
      </c>
    </row>
    <row r="2045" spans="12:12" x14ac:dyDescent="0.35">
      <c r="L2045" s="3">
        <f t="shared" si="34"/>
        <v>0</v>
      </c>
    </row>
    <row r="2046" spans="12:12" x14ac:dyDescent="0.35">
      <c r="L2046" s="3">
        <f t="shared" si="34"/>
        <v>0</v>
      </c>
    </row>
    <row r="2047" spans="12:12" x14ac:dyDescent="0.35">
      <c r="L2047" s="3">
        <f t="shared" si="34"/>
        <v>0</v>
      </c>
    </row>
    <row r="2048" spans="12:12" x14ac:dyDescent="0.35">
      <c r="L2048" s="3">
        <f t="shared" si="34"/>
        <v>0</v>
      </c>
    </row>
    <row r="2049" spans="12:12" x14ac:dyDescent="0.35">
      <c r="L2049" s="3">
        <f t="shared" si="34"/>
        <v>0</v>
      </c>
    </row>
    <row r="2050" spans="12:12" x14ac:dyDescent="0.35">
      <c r="L2050" s="3">
        <f t="shared" si="34"/>
        <v>0</v>
      </c>
    </row>
    <row r="2051" spans="12:12" x14ac:dyDescent="0.35">
      <c r="L2051" s="3">
        <f t="shared" si="34"/>
        <v>0</v>
      </c>
    </row>
    <row r="2052" spans="12:12" x14ac:dyDescent="0.35">
      <c r="L2052" s="3">
        <f t="shared" si="34"/>
        <v>0</v>
      </c>
    </row>
    <row r="2053" spans="12:12" x14ac:dyDescent="0.35">
      <c r="L2053" s="3">
        <f t="shared" si="34"/>
        <v>0</v>
      </c>
    </row>
    <row r="2054" spans="12:12" x14ac:dyDescent="0.35">
      <c r="L2054" s="3">
        <f t="shared" si="34"/>
        <v>0</v>
      </c>
    </row>
    <row r="2055" spans="12:12" x14ac:dyDescent="0.35">
      <c r="L2055" s="3">
        <f t="shared" si="34"/>
        <v>0</v>
      </c>
    </row>
    <row r="2056" spans="12:12" x14ac:dyDescent="0.35">
      <c r="L2056" s="3">
        <f t="shared" si="34"/>
        <v>0</v>
      </c>
    </row>
    <row r="2057" spans="12:12" x14ac:dyDescent="0.35">
      <c r="L2057" s="3">
        <f t="shared" si="34"/>
        <v>0</v>
      </c>
    </row>
    <row r="2058" spans="12:12" x14ac:dyDescent="0.35">
      <c r="L2058" s="3">
        <f t="shared" si="34"/>
        <v>0</v>
      </c>
    </row>
    <row r="2059" spans="12:12" x14ac:dyDescent="0.35">
      <c r="L2059" s="3">
        <f t="shared" si="34"/>
        <v>0</v>
      </c>
    </row>
    <row r="2060" spans="12:12" x14ac:dyDescent="0.35">
      <c r="L2060" s="3">
        <f t="shared" si="34"/>
        <v>0</v>
      </c>
    </row>
    <row r="2061" spans="12:12" x14ac:dyDescent="0.35">
      <c r="L2061" s="3">
        <f t="shared" si="34"/>
        <v>0</v>
      </c>
    </row>
    <row r="2062" spans="12:12" x14ac:dyDescent="0.35">
      <c r="L2062" s="3">
        <f t="shared" si="34"/>
        <v>0</v>
      </c>
    </row>
    <row r="2063" spans="12:12" x14ac:dyDescent="0.35">
      <c r="L2063" s="3">
        <f t="shared" si="34"/>
        <v>0</v>
      </c>
    </row>
    <row r="2064" spans="12:12" x14ac:dyDescent="0.35">
      <c r="L2064" s="3">
        <f t="shared" si="34"/>
        <v>0</v>
      </c>
    </row>
    <row r="2065" spans="12:12" x14ac:dyDescent="0.35">
      <c r="L2065" s="3">
        <f t="shared" si="34"/>
        <v>0</v>
      </c>
    </row>
    <row r="2066" spans="12:12" x14ac:dyDescent="0.35">
      <c r="L2066" s="3">
        <f t="shared" si="34"/>
        <v>0</v>
      </c>
    </row>
    <row r="2067" spans="12:12" x14ac:dyDescent="0.35">
      <c r="L2067" s="3">
        <f t="shared" si="34"/>
        <v>0</v>
      </c>
    </row>
    <row r="2068" spans="12:12" x14ac:dyDescent="0.35">
      <c r="L2068" s="3">
        <f t="shared" si="34"/>
        <v>0</v>
      </c>
    </row>
    <row r="2069" spans="12:12" x14ac:dyDescent="0.35">
      <c r="L2069" s="3">
        <f t="shared" si="34"/>
        <v>0</v>
      </c>
    </row>
    <row r="2070" spans="12:12" x14ac:dyDescent="0.35">
      <c r="L2070" s="3">
        <f t="shared" si="34"/>
        <v>0</v>
      </c>
    </row>
    <row r="2071" spans="12:12" x14ac:dyDescent="0.35">
      <c r="L2071" s="3">
        <f t="shared" si="34"/>
        <v>0</v>
      </c>
    </row>
    <row r="2072" spans="12:12" x14ac:dyDescent="0.35">
      <c r="L2072" s="3">
        <f t="shared" si="34"/>
        <v>0</v>
      </c>
    </row>
    <row r="2073" spans="12:12" x14ac:dyDescent="0.35">
      <c r="L2073" s="3">
        <f t="shared" si="34"/>
        <v>0</v>
      </c>
    </row>
    <row r="2074" spans="12:12" x14ac:dyDescent="0.35">
      <c r="L2074" s="3">
        <f t="shared" si="34"/>
        <v>0</v>
      </c>
    </row>
    <row r="2075" spans="12:12" x14ac:dyDescent="0.35">
      <c r="L2075" s="3">
        <f t="shared" si="34"/>
        <v>0</v>
      </c>
    </row>
    <row r="2076" spans="12:12" x14ac:dyDescent="0.35">
      <c r="L2076" s="3">
        <f t="shared" si="34"/>
        <v>0</v>
      </c>
    </row>
    <row r="2077" spans="12:12" x14ac:dyDescent="0.35">
      <c r="L2077" s="3">
        <f t="shared" si="34"/>
        <v>0</v>
      </c>
    </row>
    <row r="2078" spans="12:12" x14ac:dyDescent="0.35">
      <c r="L2078" s="3">
        <f t="shared" si="34"/>
        <v>0</v>
      </c>
    </row>
    <row r="2079" spans="12:12" x14ac:dyDescent="0.35">
      <c r="L2079" s="3">
        <f t="shared" si="34"/>
        <v>0</v>
      </c>
    </row>
    <row r="2080" spans="12:12" x14ac:dyDescent="0.35">
      <c r="L2080" s="3">
        <f t="shared" si="34"/>
        <v>0</v>
      </c>
    </row>
    <row r="2081" spans="12:12" x14ac:dyDescent="0.35">
      <c r="L2081" s="3">
        <f t="shared" si="34"/>
        <v>0</v>
      </c>
    </row>
    <row r="2082" spans="12:12" x14ac:dyDescent="0.35">
      <c r="L2082" s="3">
        <f t="shared" si="34"/>
        <v>0</v>
      </c>
    </row>
    <row r="2083" spans="12:12" x14ac:dyDescent="0.35">
      <c r="L2083" s="3">
        <f t="shared" si="34"/>
        <v>0</v>
      </c>
    </row>
    <row r="2084" spans="12:12" x14ac:dyDescent="0.35">
      <c r="L2084" s="3">
        <f t="shared" si="34"/>
        <v>0</v>
      </c>
    </row>
    <row r="2085" spans="12:12" x14ac:dyDescent="0.35">
      <c r="L2085" s="3">
        <f t="shared" si="34"/>
        <v>0</v>
      </c>
    </row>
    <row r="2086" spans="12:12" x14ac:dyDescent="0.35">
      <c r="L2086" s="3">
        <f t="shared" si="34"/>
        <v>0</v>
      </c>
    </row>
    <row r="2087" spans="12:12" x14ac:dyDescent="0.35">
      <c r="L2087" s="3">
        <f t="shared" si="34"/>
        <v>0</v>
      </c>
    </row>
    <row r="2088" spans="12:12" x14ac:dyDescent="0.35">
      <c r="L2088" s="3">
        <f t="shared" si="34"/>
        <v>0</v>
      </c>
    </row>
    <row r="2089" spans="12:12" x14ac:dyDescent="0.35">
      <c r="L2089" s="3">
        <f t="shared" si="34"/>
        <v>0</v>
      </c>
    </row>
    <row r="2090" spans="12:12" x14ac:dyDescent="0.35">
      <c r="L2090" s="3">
        <f t="shared" si="34"/>
        <v>0</v>
      </c>
    </row>
    <row r="2091" spans="12:12" x14ac:dyDescent="0.35">
      <c r="L2091" s="3">
        <f t="shared" si="34"/>
        <v>0</v>
      </c>
    </row>
    <row r="2092" spans="12:12" x14ac:dyDescent="0.35">
      <c r="L2092" s="3">
        <f t="shared" si="34"/>
        <v>0</v>
      </c>
    </row>
    <row r="2093" spans="12:12" x14ac:dyDescent="0.35">
      <c r="L2093" s="3">
        <f t="shared" si="34"/>
        <v>0</v>
      </c>
    </row>
    <row r="2094" spans="12:12" x14ac:dyDescent="0.35">
      <c r="L2094" s="3">
        <f t="shared" si="34"/>
        <v>0</v>
      </c>
    </row>
    <row r="2095" spans="12:12" x14ac:dyDescent="0.35">
      <c r="L2095" s="3">
        <f t="shared" si="34"/>
        <v>0</v>
      </c>
    </row>
    <row r="2096" spans="12:12" x14ac:dyDescent="0.35">
      <c r="L2096" s="3">
        <f t="shared" si="34"/>
        <v>0</v>
      </c>
    </row>
    <row r="2097" spans="12:12" x14ac:dyDescent="0.35">
      <c r="L2097" s="3">
        <f t="shared" si="34"/>
        <v>0</v>
      </c>
    </row>
    <row r="2098" spans="12:12" x14ac:dyDescent="0.35">
      <c r="L2098" s="3">
        <f t="shared" si="34"/>
        <v>0</v>
      </c>
    </row>
    <row r="2099" spans="12:12" x14ac:dyDescent="0.35">
      <c r="L2099" s="3">
        <f t="shared" si="34"/>
        <v>0</v>
      </c>
    </row>
    <row r="2100" spans="12:12" x14ac:dyDescent="0.35">
      <c r="L2100" s="3">
        <f t="shared" si="34"/>
        <v>0</v>
      </c>
    </row>
    <row r="2101" spans="12:12" x14ac:dyDescent="0.35">
      <c r="L2101" s="3">
        <f t="shared" si="34"/>
        <v>0</v>
      </c>
    </row>
    <row r="2102" spans="12:12" x14ac:dyDescent="0.35">
      <c r="L2102" s="3">
        <f t="shared" si="34"/>
        <v>0</v>
      </c>
    </row>
    <row r="2103" spans="12:12" x14ac:dyDescent="0.35">
      <c r="L2103" s="3">
        <f t="shared" si="34"/>
        <v>0</v>
      </c>
    </row>
    <row r="2104" spans="12:12" x14ac:dyDescent="0.35">
      <c r="L2104" s="3">
        <f t="shared" si="34"/>
        <v>0</v>
      </c>
    </row>
    <row r="2105" spans="12:12" x14ac:dyDescent="0.35">
      <c r="L2105" s="3">
        <f t="shared" si="34"/>
        <v>0</v>
      </c>
    </row>
    <row r="2106" spans="12:12" x14ac:dyDescent="0.35">
      <c r="L2106" s="3">
        <f t="shared" si="34"/>
        <v>0</v>
      </c>
    </row>
    <row r="2107" spans="12:12" x14ac:dyDescent="0.35">
      <c r="L2107" s="3">
        <f t="shared" ref="L2107:L2170" si="35">K2107*C2107</f>
        <v>0</v>
      </c>
    </row>
    <row r="2108" spans="12:12" x14ac:dyDescent="0.35">
      <c r="L2108" s="3">
        <f t="shared" si="35"/>
        <v>0</v>
      </c>
    </row>
    <row r="2109" spans="12:12" x14ac:dyDescent="0.35">
      <c r="L2109" s="3">
        <f t="shared" si="35"/>
        <v>0</v>
      </c>
    </row>
    <row r="2110" spans="12:12" x14ac:dyDescent="0.35">
      <c r="L2110" s="3">
        <f t="shared" si="35"/>
        <v>0</v>
      </c>
    </row>
    <row r="2111" spans="12:12" x14ac:dyDescent="0.35">
      <c r="L2111" s="3">
        <f t="shared" si="35"/>
        <v>0</v>
      </c>
    </row>
    <row r="2112" spans="12:12" x14ac:dyDescent="0.35">
      <c r="L2112" s="3">
        <f t="shared" si="35"/>
        <v>0</v>
      </c>
    </row>
    <row r="2113" spans="12:12" x14ac:dyDescent="0.35">
      <c r="L2113" s="3">
        <f t="shared" si="35"/>
        <v>0</v>
      </c>
    </row>
    <row r="2114" spans="12:12" x14ac:dyDescent="0.35">
      <c r="L2114" s="3">
        <f t="shared" si="35"/>
        <v>0</v>
      </c>
    </row>
    <row r="2115" spans="12:12" x14ac:dyDescent="0.35">
      <c r="L2115" s="3">
        <f t="shared" si="35"/>
        <v>0</v>
      </c>
    </row>
    <row r="2116" spans="12:12" x14ac:dyDescent="0.35">
      <c r="L2116" s="3">
        <f t="shared" si="35"/>
        <v>0</v>
      </c>
    </row>
    <row r="2117" spans="12:12" x14ac:dyDescent="0.35">
      <c r="L2117" s="3">
        <f t="shared" si="35"/>
        <v>0</v>
      </c>
    </row>
    <row r="2118" spans="12:12" x14ac:dyDescent="0.35">
      <c r="L2118" s="3">
        <f t="shared" si="35"/>
        <v>0</v>
      </c>
    </row>
    <row r="2119" spans="12:12" x14ac:dyDescent="0.35">
      <c r="L2119" s="3">
        <f t="shared" si="35"/>
        <v>0</v>
      </c>
    </row>
    <row r="2120" spans="12:12" x14ac:dyDescent="0.35">
      <c r="L2120" s="3">
        <f t="shared" si="35"/>
        <v>0</v>
      </c>
    </row>
    <row r="2121" spans="12:12" x14ac:dyDescent="0.35">
      <c r="L2121" s="3">
        <f t="shared" si="35"/>
        <v>0</v>
      </c>
    </row>
    <row r="2122" spans="12:12" x14ac:dyDescent="0.35">
      <c r="L2122" s="3">
        <f t="shared" si="35"/>
        <v>0</v>
      </c>
    </row>
    <row r="2123" spans="12:12" x14ac:dyDescent="0.35">
      <c r="L2123" s="3">
        <f t="shared" si="35"/>
        <v>0</v>
      </c>
    </row>
    <row r="2124" spans="12:12" x14ac:dyDescent="0.35">
      <c r="L2124" s="3">
        <f t="shared" si="35"/>
        <v>0</v>
      </c>
    </row>
    <row r="2125" spans="12:12" x14ac:dyDescent="0.35">
      <c r="L2125" s="3">
        <f t="shared" si="35"/>
        <v>0</v>
      </c>
    </row>
    <row r="2126" spans="12:12" x14ac:dyDescent="0.35">
      <c r="L2126" s="3">
        <f t="shared" si="35"/>
        <v>0</v>
      </c>
    </row>
    <row r="2127" spans="12:12" x14ac:dyDescent="0.35">
      <c r="L2127" s="3">
        <f t="shared" si="35"/>
        <v>0</v>
      </c>
    </row>
    <row r="2128" spans="12:12" x14ac:dyDescent="0.35">
      <c r="L2128" s="3">
        <f t="shared" si="35"/>
        <v>0</v>
      </c>
    </row>
    <row r="2129" spans="12:12" x14ac:dyDescent="0.35">
      <c r="L2129" s="3">
        <f t="shared" si="35"/>
        <v>0</v>
      </c>
    </row>
    <row r="2130" spans="12:12" x14ac:dyDescent="0.35">
      <c r="L2130" s="3">
        <f t="shared" si="35"/>
        <v>0</v>
      </c>
    </row>
    <row r="2131" spans="12:12" x14ac:dyDescent="0.35">
      <c r="L2131" s="3">
        <f t="shared" si="35"/>
        <v>0</v>
      </c>
    </row>
    <row r="2132" spans="12:12" x14ac:dyDescent="0.35">
      <c r="L2132" s="3">
        <f t="shared" si="35"/>
        <v>0</v>
      </c>
    </row>
    <row r="2133" spans="12:12" x14ac:dyDescent="0.35">
      <c r="L2133" s="3">
        <f t="shared" si="35"/>
        <v>0</v>
      </c>
    </row>
    <row r="2134" spans="12:12" x14ac:dyDescent="0.35">
      <c r="L2134" s="3">
        <f t="shared" si="35"/>
        <v>0</v>
      </c>
    </row>
    <row r="2135" spans="12:12" x14ac:dyDescent="0.35">
      <c r="L2135" s="3">
        <f t="shared" si="35"/>
        <v>0</v>
      </c>
    </row>
    <row r="2136" spans="12:12" x14ac:dyDescent="0.35">
      <c r="L2136" s="3">
        <f t="shared" si="35"/>
        <v>0</v>
      </c>
    </row>
    <row r="2137" spans="12:12" x14ac:dyDescent="0.35">
      <c r="L2137" s="3">
        <f t="shared" si="35"/>
        <v>0</v>
      </c>
    </row>
    <row r="2138" spans="12:12" x14ac:dyDescent="0.35">
      <c r="L2138" s="3">
        <f t="shared" si="35"/>
        <v>0</v>
      </c>
    </row>
    <row r="2139" spans="12:12" x14ac:dyDescent="0.35">
      <c r="L2139" s="3">
        <f t="shared" si="35"/>
        <v>0</v>
      </c>
    </row>
    <row r="2140" spans="12:12" x14ac:dyDescent="0.35">
      <c r="L2140" s="3">
        <f t="shared" si="35"/>
        <v>0</v>
      </c>
    </row>
    <row r="2141" spans="12:12" x14ac:dyDescent="0.35">
      <c r="L2141" s="3">
        <f t="shared" si="35"/>
        <v>0</v>
      </c>
    </row>
    <row r="2142" spans="12:12" x14ac:dyDescent="0.35">
      <c r="L2142" s="3">
        <f t="shared" si="35"/>
        <v>0</v>
      </c>
    </row>
    <row r="2143" spans="12:12" x14ac:dyDescent="0.35">
      <c r="L2143" s="3">
        <f t="shared" si="35"/>
        <v>0</v>
      </c>
    </row>
    <row r="2144" spans="12:12" x14ac:dyDescent="0.35">
      <c r="L2144" s="3">
        <f t="shared" si="35"/>
        <v>0</v>
      </c>
    </row>
    <row r="2145" spans="12:12" x14ac:dyDescent="0.35">
      <c r="L2145" s="3">
        <f t="shared" si="35"/>
        <v>0</v>
      </c>
    </row>
    <row r="2146" spans="12:12" x14ac:dyDescent="0.35">
      <c r="L2146" s="3">
        <f t="shared" si="35"/>
        <v>0</v>
      </c>
    </row>
    <row r="2147" spans="12:12" x14ac:dyDescent="0.35">
      <c r="L2147" s="3">
        <f t="shared" si="35"/>
        <v>0</v>
      </c>
    </row>
    <row r="2148" spans="12:12" x14ac:dyDescent="0.35">
      <c r="L2148" s="3">
        <f t="shared" si="35"/>
        <v>0</v>
      </c>
    </row>
    <row r="2149" spans="12:12" x14ac:dyDescent="0.35">
      <c r="L2149" s="3">
        <f t="shared" si="35"/>
        <v>0</v>
      </c>
    </row>
    <row r="2150" spans="12:12" x14ac:dyDescent="0.35">
      <c r="L2150" s="3">
        <f t="shared" si="35"/>
        <v>0</v>
      </c>
    </row>
    <row r="2151" spans="12:12" x14ac:dyDescent="0.35">
      <c r="L2151" s="3">
        <f t="shared" si="35"/>
        <v>0</v>
      </c>
    </row>
    <row r="2152" spans="12:12" x14ac:dyDescent="0.35">
      <c r="L2152" s="3">
        <f t="shared" si="35"/>
        <v>0</v>
      </c>
    </row>
    <row r="2153" spans="12:12" x14ac:dyDescent="0.35">
      <c r="L2153" s="3">
        <f t="shared" si="35"/>
        <v>0</v>
      </c>
    </row>
    <row r="2154" spans="12:12" x14ac:dyDescent="0.35">
      <c r="L2154" s="3">
        <f t="shared" si="35"/>
        <v>0</v>
      </c>
    </row>
    <row r="2155" spans="12:12" x14ac:dyDescent="0.35">
      <c r="L2155" s="3">
        <f t="shared" si="35"/>
        <v>0</v>
      </c>
    </row>
    <row r="2156" spans="12:12" x14ac:dyDescent="0.35">
      <c r="L2156" s="3">
        <f t="shared" si="35"/>
        <v>0</v>
      </c>
    </row>
    <row r="2157" spans="12:12" x14ac:dyDescent="0.35">
      <c r="L2157" s="3">
        <f t="shared" si="35"/>
        <v>0</v>
      </c>
    </row>
    <row r="2158" spans="12:12" x14ac:dyDescent="0.35">
      <c r="L2158" s="3">
        <f t="shared" si="35"/>
        <v>0</v>
      </c>
    </row>
    <row r="2159" spans="12:12" x14ac:dyDescent="0.35">
      <c r="L2159" s="3">
        <f t="shared" si="35"/>
        <v>0</v>
      </c>
    </row>
    <row r="2160" spans="12:12" x14ac:dyDescent="0.35">
      <c r="L2160" s="3">
        <f t="shared" si="35"/>
        <v>0</v>
      </c>
    </row>
    <row r="2161" spans="12:12" x14ac:dyDescent="0.35">
      <c r="L2161" s="3">
        <f t="shared" si="35"/>
        <v>0</v>
      </c>
    </row>
    <row r="2162" spans="12:12" x14ac:dyDescent="0.35">
      <c r="L2162" s="3">
        <f t="shared" si="35"/>
        <v>0</v>
      </c>
    </row>
    <row r="2163" spans="12:12" x14ac:dyDescent="0.35">
      <c r="L2163" s="3">
        <f t="shared" si="35"/>
        <v>0</v>
      </c>
    </row>
    <row r="2164" spans="12:12" x14ac:dyDescent="0.35">
      <c r="L2164" s="3">
        <f t="shared" si="35"/>
        <v>0</v>
      </c>
    </row>
    <row r="2165" spans="12:12" x14ac:dyDescent="0.35">
      <c r="L2165" s="3">
        <f t="shared" si="35"/>
        <v>0</v>
      </c>
    </row>
    <row r="2166" spans="12:12" x14ac:dyDescent="0.35">
      <c r="L2166" s="3">
        <f t="shared" si="35"/>
        <v>0</v>
      </c>
    </row>
    <row r="2167" spans="12:12" x14ac:dyDescent="0.35">
      <c r="L2167" s="3">
        <f t="shared" si="35"/>
        <v>0</v>
      </c>
    </row>
    <row r="2168" spans="12:12" x14ac:dyDescent="0.35">
      <c r="L2168" s="3">
        <f t="shared" si="35"/>
        <v>0</v>
      </c>
    </row>
    <row r="2169" spans="12:12" x14ac:dyDescent="0.35">
      <c r="L2169" s="3">
        <f t="shared" si="35"/>
        <v>0</v>
      </c>
    </row>
    <row r="2170" spans="12:12" x14ac:dyDescent="0.35">
      <c r="L2170" s="3">
        <f t="shared" si="35"/>
        <v>0</v>
      </c>
    </row>
    <row r="2171" spans="12:12" x14ac:dyDescent="0.35">
      <c r="L2171" s="3">
        <f t="shared" ref="L2171:L2234" si="36">K2171*C2171</f>
        <v>0</v>
      </c>
    </row>
    <row r="2172" spans="12:12" x14ac:dyDescent="0.35">
      <c r="L2172" s="3">
        <f t="shared" si="36"/>
        <v>0</v>
      </c>
    </row>
    <row r="2173" spans="12:12" x14ac:dyDescent="0.35">
      <c r="L2173" s="3">
        <f t="shared" si="36"/>
        <v>0</v>
      </c>
    </row>
    <row r="2174" spans="12:12" x14ac:dyDescent="0.35">
      <c r="L2174" s="3">
        <f t="shared" si="36"/>
        <v>0</v>
      </c>
    </row>
    <row r="2175" spans="12:12" x14ac:dyDescent="0.35">
      <c r="L2175" s="3">
        <f t="shared" si="36"/>
        <v>0</v>
      </c>
    </row>
    <row r="2176" spans="12:12" x14ac:dyDescent="0.35">
      <c r="L2176" s="3">
        <f t="shared" si="36"/>
        <v>0</v>
      </c>
    </row>
    <row r="2177" spans="12:12" x14ac:dyDescent="0.35">
      <c r="L2177" s="3">
        <f t="shared" si="36"/>
        <v>0</v>
      </c>
    </row>
    <row r="2178" spans="12:12" x14ac:dyDescent="0.35">
      <c r="L2178" s="3">
        <f t="shared" si="36"/>
        <v>0</v>
      </c>
    </row>
    <row r="2179" spans="12:12" x14ac:dyDescent="0.35">
      <c r="L2179" s="3">
        <f t="shared" si="36"/>
        <v>0</v>
      </c>
    </row>
    <row r="2180" spans="12:12" x14ac:dyDescent="0.35">
      <c r="L2180" s="3">
        <f t="shared" si="36"/>
        <v>0</v>
      </c>
    </row>
    <row r="2181" spans="12:12" x14ac:dyDescent="0.35">
      <c r="L2181" s="3">
        <f t="shared" si="36"/>
        <v>0</v>
      </c>
    </row>
    <row r="2182" spans="12:12" x14ac:dyDescent="0.35">
      <c r="L2182" s="3">
        <f t="shared" si="36"/>
        <v>0</v>
      </c>
    </row>
    <row r="2183" spans="12:12" x14ac:dyDescent="0.35">
      <c r="L2183" s="3">
        <f t="shared" si="36"/>
        <v>0</v>
      </c>
    </row>
    <row r="2184" spans="12:12" x14ac:dyDescent="0.35">
      <c r="L2184" s="3">
        <f t="shared" si="36"/>
        <v>0</v>
      </c>
    </row>
    <row r="2185" spans="12:12" x14ac:dyDescent="0.35">
      <c r="L2185" s="3">
        <f t="shared" si="36"/>
        <v>0</v>
      </c>
    </row>
    <row r="2186" spans="12:12" x14ac:dyDescent="0.35">
      <c r="L2186" s="3">
        <f t="shared" si="36"/>
        <v>0</v>
      </c>
    </row>
    <row r="2187" spans="12:12" x14ac:dyDescent="0.35">
      <c r="L2187" s="3">
        <f t="shared" si="36"/>
        <v>0</v>
      </c>
    </row>
    <row r="2188" spans="12:12" x14ac:dyDescent="0.35">
      <c r="L2188" s="3">
        <f t="shared" si="36"/>
        <v>0</v>
      </c>
    </row>
    <row r="2189" spans="12:12" x14ac:dyDescent="0.35">
      <c r="L2189" s="3">
        <f t="shared" si="36"/>
        <v>0</v>
      </c>
    </row>
    <row r="2190" spans="12:12" x14ac:dyDescent="0.35">
      <c r="L2190" s="3">
        <f t="shared" si="36"/>
        <v>0</v>
      </c>
    </row>
    <row r="2191" spans="12:12" x14ac:dyDescent="0.35">
      <c r="L2191" s="3">
        <f t="shared" si="36"/>
        <v>0</v>
      </c>
    </row>
    <row r="2192" spans="12:12" x14ac:dyDescent="0.35">
      <c r="L2192" s="3">
        <f t="shared" si="36"/>
        <v>0</v>
      </c>
    </row>
    <row r="2193" spans="12:12" x14ac:dyDescent="0.35">
      <c r="L2193" s="3">
        <f t="shared" si="36"/>
        <v>0</v>
      </c>
    </row>
    <row r="2194" spans="12:12" x14ac:dyDescent="0.35">
      <c r="L2194" s="3">
        <f t="shared" si="36"/>
        <v>0</v>
      </c>
    </row>
    <row r="2195" spans="12:12" x14ac:dyDescent="0.35">
      <c r="L2195" s="3">
        <f t="shared" si="36"/>
        <v>0</v>
      </c>
    </row>
    <row r="2196" spans="12:12" x14ac:dyDescent="0.35">
      <c r="L2196" s="3">
        <f t="shared" si="36"/>
        <v>0</v>
      </c>
    </row>
    <row r="2197" spans="12:12" x14ac:dyDescent="0.35">
      <c r="L2197" s="3">
        <f t="shared" si="36"/>
        <v>0</v>
      </c>
    </row>
    <row r="2198" spans="12:12" x14ac:dyDescent="0.35">
      <c r="L2198" s="3">
        <f t="shared" si="36"/>
        <v>0</v>
      </c>
    </row>
    <row r="2199" spans="12:12" x14ac:dyDescent="0.35">
      <c r="L2199" s="3">
        <f t="shared" si="36"/>
        <v>0</v>
      </c>
    </row>
    <row r="2200" spans="12:12" x14ac:dyDescent="0.35">
      <c r="L2200" s="3">
        <f t="shared" si="36"/>
        <v>0</v>
      </c>
    </row>
    <row r="2201" spans="12:12" x14ac:dyDescent="0.35">
      <c r="L2201" s="3">
        <f t="shared" si="36"/>
        <v>0</v>
      </c>
    </row>
    <row r="2202" spans="12:12" x14ac:dyDescent="0.35">
      <c r="L2202" s="3">
        <f t="shared" si="36"/>
        <v>0</v>
      </c>
    </row>
    <row r="2203" spans="12:12" x14ac:dyDescent="0.35">
      <c r="L2203" s="3">
        <f t="shared" si="36"/>
        <v>0</v>
      </c>
    </row>
    <row r="2204" spans="12:12" x14ac:dyDescent="0.35">
      <c r="L2204" s="3">
        <f t="shared" si="36"/>
        <v>0</v>
      </c>
    </row>
    <row r="2205" spans="12:12" x14ac:dyDescent="0.35">
      <c r="L2205" s="3">
        <f t="shared" si="36"/>
        <v>0</v>
      </c>
    </row>
    <row r="2206" spans="12:12" x14ac:dyDescent="0.35">
      <c r="L2206" s="3">
        <f t="shared" si="36"/>
        <v>0</v>
      </c>
    </row>
    <row r="2207" spans="12:12" x14ac:dyDescent="0.35">
      <c r="L2207" s="3">
        <f t="shared" si="36"/>
        <v>0</v>
      </c>
    </row>
    <row r="2208" spans="12:12" x14ac:dyDescent="0.35">
      <c r="L2208" s="3">
        <f t="shared" si="36"/>
        <v>0</v>
      </c>
    </row>
    <row r="2209" spans="12:12" x14ac:dyDescent="0.35">
      <c r="L2209" s="3">
        <f t="shared" si="36"/>
        <v>0</v>
      </c>
    </row>
    <row r="2210" spans="12:12" x14ac:dyDescent="0.35">
      <c r="L2210" s="3">
        <f t="shared" si="36"/>
        <v>0</v>
      </c>
    </row>
    <row r="2211" spans="12:12" x14ac:dyDescent="0.35">
      <c r="L2211" s="3">
        <f t="shared" si="36"/>
        <v>0</v>
      </c>
    </row>
    <row r="2212" spans="12:12" x14ac:dyDescent="0.35">
      <c r="L2212" s="3">
        <f t="shared" si="36"/>
        <v>0</v>
      </c>
    </row>
    <row r="2213" spans="12:12" x14ac:dyDescent="0.35">
      <c r="L2213" s="3">
        <f t="shared" si="36"/>
        <v>0</v>
      </c>
    </row>
    <row r="2214" spans="12:12" x14ac:dyDescent="0.35">
      <c r="L2214" s="3">
        <f t="shared" si="36"/>
        <v>0</v>
      </c>
    </row>
    <row r="2215" spans="12:12" x14ac:dyDescent="0.35">
      <c r="L2215" s="3">
        <f t="shared" si="36"/>
        <v>0</v>
      </c>
    </row>
    <row r="2216" spans="12:12" x14ac:dyDescent="0.35">
      <c r="L2216" s="3">
        <f t="shared" si="36"/>
        <v>0</v>
      </c>
    </row>
    <row r="2217" spans="12:12" x14ac:dyDescent="0.35">
      <c r="L2217" s="3">
        <f t="shared" si="36"/>
        <v>0</v>
      </c>
    </row>
    <row r="2218" spans="12:12" x14ac:dyDescent="0.35">
      <c r="L2218" s="3">
        <f t="shared" si="36"/>
        <v>0</v>
      </c>
    </row>
    <row r="2219" spans="12:12" x14ac:dyDescent="0.35">
      <c r="L2219" s="3">
        <f t="shared" si="36"/>
        <v>0</v>
      </c>
    </row>
    <row r="2220" spans="12:12" x14ac:dyDescent="0.35">
      <c r="L2220" s="3">
        <f t="shared" si="36"/>
        <v>0</v>
      </c>
    </row>
    <row r="2221" spans="12:12" x14ac:dyDescent="0.35">
      <c r="L2221" s="3">
        <f t="shared" si="36"/>
        <v>0</v>
      </c>
    </row>
    <row r="2222" spans="12:12" x14ac:dyDescent="0.35">
      <c r="L2222" s="3">
        <f t="shared" si="36"/>
        <v>0</v>
      </c>
    </row>
    <row r="2223" spans="12:12" x14ac:dyDescent="0.35">
      <c r="L2223" s="3">
        <f t="shared" si="36"/>
        <v>0</v>
      </c>
    </row>
    <row r="2224" spans="12:12" x14ac:dyDescent="0.35">
      <c r="L2224" s="3">
        <f t="shared" si="36"/>
        <v>0</v>
      </c>
    </row>
    <row r="2225" spans="12:12" x14ac:dyDescent="0.35">
      <c r="L2225" s="3">
        <f t="shared" si="36"/>
        <v>0</v>
      </c>
    </row>
    <row r="2226" spans="12:12" x14ac:dyDescent="0.35">
      <c r="L2226" s="3">
        <f t="shared" si="36"/>
        <v>0</v>
      </c>
    </row>
    <row r="2227" spans="12:12" x14ac:dyDescent="0.35">
      <c r="L2227" s="3">
        <f t="shared" si="36"/>
        <v>0</v>
      </c>
    </row>
    <row r="2228" spans="12:12" x14ac:dyDescent="0.35">
      <c r="L2228" s="3">
        <f t="shared" si="36"/>
        <v>0</v>
      </c>
    </row>
    <row r="2229" spans="12:12" x14ac:dyDescent="0.35">
      <c r="L2229" s="3">
        <f t="shared" si="36"/>
        <v>0</v>
      </c>
    </row>
    <row r="2230" spans="12:12" x14ac:dyDescent="0.35">
      <c r="L2230" s="3">
        <f t="shared" si="36"/>
        <v>0</v>
      </c>
    </row>
    <row r="2231" spans="12:12" x14ac:dyDescent="0.35">
      <c r="L2231" s="3">
        <f t="shared" si="36"/>
        <v>0</v>
      </c>
    </row>
    <row r="2232" spans="12:12" x14ac:dyDescent="0.35">
      <c r="L2232" s="3">
        <f t="shared" si="36"/>
        <v>0</v>
      </c>
    </row>
    <row r="2233" spans="12:12" x14ac:dyDescent="0.35">
      <c r="L2233" s="3">
        <f t="shared" si="36"/>
        <v>0</v>
      </c>
    </row>
    <row r="2234" spans="12:12" x14ac:dyDescent="0.35">
      <c r="L2234" s="3">
        <f t="shared" si="36"/>
        <v>0</v>
      </c>
    </row>
    <row r="2235" spans="12:12" x14ac:dyDescent="0.35">
      <c r="L2235" s="3">
        <f t="shared" ref="L2235:L2298" si="37">K2235*C2235</f>
        <v>0</v>
      </c>
    </row>
    <row r="2236" spans="12:12" x14ac:dyDescent="0.35">
      <c r="L2236" s="3">
        <f t="shared" si="37"/>
        <v>0</v>
      </c>
    </row>
    <row r="2237" spans="12:12" x14ac:dyDescent="0.35">
      <c r="L2237" s="3">
        <f t="shared" si="37"/>
        <v>0</v>
      </c>
    </row>
    <row r="2238" spans="12:12" x14ac:dyDescent="0.35">
      <c r="L2238" s="3">
        <f t="shared" si="37"/>
        <v>0</v>
      </c>
    </row>
    <row r="2239" spans="12:12" x14ac:dyDescent="0.35">
      <c r="L2239" s="3">
        <f t="shared" si="37"/>
        <v>0</v>
      </c>
    </row>
    <row r="2240" spans="12:12" x14ac:dyDescent="0.35">
      <c r="L2240" s="3">
        <f t="shared" si="37"/>
        <v>0</v>
      </c>
    </row>
    <row r="2241" spans="12:12" x14ac:dyDescent="0.35">
      <c r="L2241" s="3">
        <f t="shared" si="37"/>
        <v>0</v>
      </c>
    </row>
    <row r="2242" spans="12:12" x14ac:dyDescent="0.35">
      <c r="L2242" s="3">
        <f t="shared" si="37"/>
        <v>0</v>
      </c>
    </row>
    <row r="2243" spans="12:12" x14ac:dyDescent="0.35">
      <c r="L2243" s="3">
        <f t="shared" si="37"/>
        <v>0</v>
      </c>
    </row>
    <row r="2244" spans="12:12" x14ac:dyDescent="0.35">
      <c r="L2244" s="3">
        <f t="shared" si="37"/>
        <v>0</v>
      </c>
    </row>
    <row r="2245" spans="12:12" x14ac:dyDescent="0.35">
      <c r="L2245" s="3">
        <f t="shared" si="37"/>
        <v>0</v>
      </c>
    </row>
    <row r="2246" spans="12:12" x14ac:dyDescent="0.35">
      <c r="L2246" s="3">
        <f t="shared" si="37"/>
        <v>0</v>
      </c>
    </row>
    <row r="2247" spans="12:12" x14ac:dyDescent="0.35">
      <c r="L2247" s="3">
        <f t="shared" si="37"/>
        <v>0</v>
      </c>
    </row>
    <row r="2248" spans="12:12" x14ac:dyDescent="0.35">
      <c r="L2248" s="3">
        <f t="shared" si="37"/>
        <v>0</v>
      </c>
    </row>
    <row r="2249" spans="12:12" x14ac:dyDescent="0.35">
      <c r="L2249" s="3">
        <f t="shared" si="37"/>
        <v>0</v>
      </c>
    </row>
    <row r="2250" spans="12:12" x14ac:dyDescent="0.35">
      <c r="L2250" s="3">
        <f t="shared" si="37"/>
        <v>0</v>
      </c>
    </row>
    <row r="2251" spans="12:12" x14ac:dyDescent="0.35">
      <c r="L2251" s="3">
        <f t="shared" si="37"/>
        <v>0</v>
      </c>
    </row>
    <row r="2252" spans="12:12" x14ac:dyDescent="0.35">
      <c r="L2252" s="3">
        <f t="shared" si="37"/>
        <v>0</v>
      </c>
    </row>
    <row r="2253" spans="12:12" x14ac:dyDescent="0.35">
      <c r="L2253" s="3">
        <f t="shared" si="37"/>
        <v>0</v>
      </c>
    </row>
    <row r="2254" spans="12:12" x14ac:dyDescent="0.35">
      <c r="L2254" s="3">
        <f t="shared" si="37"/>
        <v>0</v>
      </c>
    </row>
    <row r="2255" spans="12:12" x14ac:dyDescent="0.35">
      <c r="L2255" s="3">
        <f t="shared" si="37"/>
        <v>0</v>
      </c>
    </row>
    <row r="2256" spans="12:12" x14ac:dyDescent="0.35">
      <c r="L2256" s="3">
        <f t="shared" si="37"/>
        <v>0</v>
      </c>
    </row>
    <row r="2257" spans="12:12" x14ac:dyDescent="0.35">
      <c r="L2257" s="3">
        <f t="shared" si="37"/>
        <v>0</v>
      </c>
    </row>
    <row r="2258" spans="12:12" x14ac:dyDescent="0.35">
      <c r="L2258" s="3">
        <f t="shared" si="37"/>
        <v>0</v>
      </c>
    </row>
    <row r="2259" spans="12:12" x14ac:dyDescent="0.35">
      <c r="L2259" s="3">
        <f t="shared" si="37"/>
        <v>0</v>
      </c>
    </row>
    <row r="2260" spans="12:12" x14ac:dyDescent="0.35">
      <c r="L2260" s="3">
        <f t="shared" si="37"/>
        <v>0</v>
      </c>
    </row>
    <row r="2261" spans="12:12" x14ac:dyDescent="0.35">
      <c r="L2261" s="3">
        <f t="shared" si="37"/>
        <v>0</v>
      </c>
    </row>
    <row r="2262" spans="12:12" x14ac:dyDescent="0.35">
      <c r="L2262" s="3">
        <f t="shared" si="37"/>
        <v>0</v>
      </c>
    </row>
    <row r="2263" spans="12:12" x14ac:dyDescent="0.35">
      <c r="L2263" s="3">
        <f t="shared" si="37"/>
        <v>0</v>
      </c>
    </row>
    <row r="2264" spans="12:12" x14ac:dyDescent="0.35">
      <c r="L2264" s="3">
        <f t="shared" si="37"/>
        <v>0</v>
      </c>
    </row>
    <row r="2265" spans="12:12" x14ac:dyDescent="0.35">
      <c r="L2265" s="3">
        <f t="shared" si="37"/>
        <v>0</v>
      </c>
    </row>
    <row r="2266" spans="12:12" x14ac:dyDescent="0.35">
      <c r="L2266" s="3">
        <f t="shared" si="37"/>
        <v>0</v>
      </c>
    </row>
    <row r="2267" spans="12:12" x14ac:dyDescent="0.35">
      <c r="L2267" s="3">
        <f t="shared" si="37"/>
        <v>0</v>
      </c>
    </row>
    <row r="2268" spans="12:12" x14ac:dyDescent="0.35">
      <c r="L2268" s="3">
        <f t="shared" si="37"/>
        <v>0</v>
      </c>
    </row>
    <row r="2269" spans="12:12" x14ac:dyDescent="0.35">
      <c r="L2269" s="3">
        <f t="shared" si="37"/>
        <v>0</v>
      </c>
    </row>
    <row r="2270" spans="12:12" x14ac:dyDescent="0.35">
      <c r="L2270" s="3">
        <f t="shared" si="37"/>
        <v>0</v>
      </c>
    </row>
    <row r="2271" spans="12:12" x14ac:dyDescent="0.35">
      <c r="L2271" s="3">
        <f t="shared" si="37"/>
        <v>0</v>
      </c>
    </row>
    <row r="2272" spans="12:12" x14ac:dyDescent="0.35">
      <c r="L2272" s="3">
        <f t="shared" si="37"/>
        <v>0</v>
      </c>
    </row>
    <row r="2273" spans="12:12" x14ac:dyDescent="0.35">
      <c r="L2273" s="3">
        <f t="shared" si="37"/>
        <v>0</v>
      </c>
    </row>
    <row r="2274" spans="12:12" x14ac:dyDescent="0.35">
      <c r="L2274" s="3">
        <f t="shared" si="37"/>
        <v>0</v>
      </c>
    </row>
    <row r="2275" spans="12:12" x14ac:dyDescent="0.35">
      <c r="L2275" s="3">
        <f t="shared" si="37"/>
        <v>0</v>
      </c>
    </row>
    <row r="2276" spans="12:12" x14ac:dyDescent="0.35">
      <c r="L2276" s="3">
        <f t="shared" si="37"/>
        <v>0</v>
      </c>
    </row>
    <row r="2277" spans="12:12" x14ac:dyDescent="0.35">
      <c r="L2277" s="3">
        <f t="shared" si="37"/>
        <v>0</v>
      </c>
    </row>
    <row r="2278" spans="12:12" x14ac:dyDescent="0.35">
      <c r="L2278" s="3">
        <f t="shared" si="37"/>
        <v>0</v>
      </c>
    </row>
    <row r="2279" spans="12:12" x14ac:dyDescent="0.35">
      <c r="L2279" s="3">
        <f t="shared" si="37"/>
        <v>0</v>
      </c>
    </row>
    <row r="2280" spans="12:12" x14ac:dyDescent="0.35">
      <c r="L2280" s="3">
        <f t="shared" si="37"/>
        <v>0</v>
      </c>
    </row>
    <row r="2281" spans="12:12" x14ac:dyDescent="0.35">
      <c r="L2281" s="3">
        <f t="shared" si="37"/>
        <v>0</v>
      </c>
    </row>
    <row r="2282" spans="12:12" x14ac:dyDescent="0.35">
      <c r="L2282" s="3">
        <f t="shared" si="37"/>
        <v>0</v>
      </c>
    </row>
    <row r="2283" spans="12:12" x14ac:dyDescent="0.35">
      <c r="L2283" s="3">
        <f t="shared" si="37"/>
        <v>0</v>
      </c>
    </row>
    <row r="2284" spans="12:12" x14ac:dyDescent="0.35">
      <c r="L2284" s="3">
        <f t="shared" si="37"/>
        <v>0</v>
      </c>
    </row>
    <row r="2285" spans="12:12" x14ac:dyDescent="0.35">
      <c r="L2285" s="3">
        <f t="shared" si="37"/>
        <v>0</v>
      </c>
    </row>
    <row r="2286" spans="12:12" x14ac:dyDescent="0.35">
      <c r="L2286" s="3">
        <f t="shared" si="37"/>
        <v>0</v>
      </c>
    </row>
    <row r="2287" spans="12:12" x14ac:dyDescent="0.35">
      <c r="L2287" s="3">
        <f t="shared" si="37"/>
        <v>0</v>
      </c>
    </row>
    <row r="2288" spans="12:12" x14ac:dyDescent="0.35">
      <c r="L2288" s="3">
        <f t="shared" si="37"/>
        <v>0</v>
      </c>
    </row>
    <row r="2289" spans="12:12" x14ac:dyDescent="0.35">
      <c r="L2289" s="3">
        <f t="shared" si="37"/>
        <v>0</v>
      </c>
    </row>
    <row r="2290" spans="12:12" x14ac:dyDescent="0.35">
      <c r="L2290" s="3">
        <f t="shared" si="37"/>
        <v>0</v>
      </c>
    </row>
    <row r="2291" spans="12:12" x14ac:dyDescent="0.35">
      <c r="L2291" s="3">
        <f t="shared" si="37"/>
        <v>0</v>
      </c>
    </row>
    <row r="2292" spans="12:12" x14ac:dyDescent="0.35">
      <c r="L2292" s="3">
        <f t="shared" si="37"/>
        <v>0</v>
      </c>
    </row>
    <row r="2293" spans="12:12" x14ac:dyDescent="0.35">
      <c r="L2293" s="3">
        <f t="shared" si="37"/>
        <v>0</v>
      </c>
    </row>
    <row r="2294" spans="12:12" x14ac:dyDescent="0.35">
      <c r="L2294" s="3">
        <f t="shared" si="37"/>
        <v>0</v>
      </c>
    </row>
    <row r="2295" spans="12:12" x14ac:dyDescent="0.35">
      <c r="L2295" s="3">
        <f t="shared" si="37"/>
        <v>0</v>
      </c>
    </row>
    <row r="2296" spans="12:12" x14ac:dyDescent="0.35">
      <c r="L2296" s="3">
        <f t="shared" si="37"/>
        <v>0</v>
      </c>
    </row>
    <row r="2297" spans="12:12" x14ac:dyDescent="0.35">
      <c r="L2297" s="3">
        <f t="shared" si="37"/>
        <v>0</v>
      </c>
    </row>
    <row r="2298" spans="12:12" x14ac:dyDescent="0.35">
      <c r="L2298" s="3">
        <f t="shared" si="37"/>
        <v>0</v>
      </c>
    </row>
    <row r="2299" spans="12:12" x14ac:dyDescent="0.35">
      <c r="L2299" s="3">
        <f t="shared" ref="L2299:L2362" si="38">K2299*C2299</f>
        <v>0</v>
      </c>
    </row>
    <row r="2300" spans="12:12" x14ac:dyDescent="0.35">
      <c r="L2300" s="3">
        <f t="shared" si="38"/>
        <v>0</v>
      </c>
    </row>
    <row r="2301" spans="12:12" x14ac:dyDescent="0.35">
      <c r="L2301" s="3">
        <f t="shared" si="38"/>
        <v>0</v>
      </c>
    </row>
    <row r="2302" spans="12:12" x14ac:dyDescent="0.35">
      <c r="L2302" s="3">
        <f t="shared" si="38"/>
        <v>0</v>
      </c>
    </row>
    <row r="2303" spans="12:12" x14ac:dyDescent="0.35">
      <c r="L2303" s="3">
        <f t="shared" si="38"/>
        <v>0</v>
      </c>
    </row>
    <row r="2304" spans="12:12" x14ac:dyDescent="0.35">
      <c r="L2304" s="3">
        <f t="shared" si="38"/>
        <v>0</v>
      </c>
    </row>
    <row r="2305" spans="12:12" x14ac:dyDescent="0.35">
      <c r="L2305" s="3">
        <f t="shared" si="38"/>
        <v>0</v>
      </c>
    </row>
    <row r="2306" spans="12:12" x14ac:dyDescent="0.35">
      <c r="L2306" s="3">
        <f t="shared" si="38"/>
        <v>0</v>
      </c>
    </row>
    <row r="2307" spans="12:12" x14ac:dyDescent="0.35">
      <c r="L2307" s="3">
        <f t="shared" si="38"/>
        <v>0</v>
      </c>
    </row>
    <row r="2308" spans="12:12" x14ac:dyDescent="0.35">
      <c r="L2308" s="3">
        <f t="shared" si="38"/>
        <v>0</v>
      </c>
    </row>
    <row r="2309" spans="12:12" x14ac:dyDescent="0.35">
      <c r="L2309" s="3">
        <f t="shared" si="38"/>
        <v>0</v>
      </c>
    </row>
    <row r="2310" spans="12:12" x14ac:dyDescent="0.35">
      <c r="L2310" s="3">
        <f t="shared" si="38"/>
        <v>0</v>
      </c>
    </row>
    <row r="2311" spans="12:12" x14ac:dyDescent="0.35">
      <c r="L2311" s="3">
        <f t="shared" si="38"/>
        <v>0</v>
      </c>
    </row>
    <row r="2312" spans="12:12" x14ac:dyDescent="0.35">
      <c r="L2312" s="3">
        <f t="shared" si="38"/>
        <v>0</v>
      </c>
    </row>
    <row r="2313" spans="12:12" x14ac:dyDescent="0.35">
      <c r="L2313" s="3">
        <f t="shared" si="38"/>
        <v>0</v>
      </c>
    </row>
    <row r="2314" spans="12:12" x14ac:dyDescent="0.35">
      <c r="L2314" s="3">
        <f t="shared" si="38"/>
        <v>0</v>
      </c>
    </row>
    <row r="2315" spans="12:12" x14ac:dyDescent="0.35">
      <c r="L2315" s="3">
        <f t="shared" si="38"/>
        <v>0</v>
      </c>
    </row>
    <row r="2316" spans="12:12" x14ac:dyDescent="0.35">
      <c r="L2316" s="3">
        <f t="shared" si="38"/>
        <v>0</v>
      </c>
    </row>
    <row r="2317" spans="12:12" x14ac:dyDescent="0.35">
      <c r="L2317" s="3">
        <f t="shared" si="38"/>
        <v>0</v>
      </c>
    </row>
    <row r="2318" spans="12:12" x14ac:dyDescent="0.35">
      <c r="L2318" s="3">
        <f t="shared" si="38"/>
        <v>0</v>
      </c>
    </row>
    <row r="2319" spans="12:12" x14ac:dyDescent="0.35">
      <c r="L2319" s="3">
        <f t="shared" si="38"/>
        <v>0</v>
      </c>
    </row>
    <row r="2320" spans="12:12" x14ac:dyDescent="0.35">
      <c r="L2320" s="3">
        <f t="shared" si="38"/>
        <v>0</v>
      </c>
    </row>
    <row r="2321" spans="12:12" x14ac:dyDescent="0.35">
      <c r="L2321" s="3">
        <f t="shared" si="38"/>
        <v>0</v>
      </c>
    </row>
    <row r="2322" spans="12:12" x14ac:dyDescent="0.35">
      <c r="L2322" s="3">
        <f t="shared" si="38"/>
        <v>0</v>
      </c>
    </row>
    <row r="2323" spans="12:12" x14ac:dyDescent="0.35">
      <c r="L2323" s="3">
        <f t="shared" si="38"/>
        <v>0</v>
      </c>
    </row>
    <row r="2324" spans="12:12" x14ac:dyDescent="0.35">
      <c r="L2324" s="3">
        <f t="shared" si="38"/>
        <v>0</v>
      </c>
    </row>
    <row r="2325" spans="12:12" x14ac:dyDescent="0.35">
      <c r="L2325" s="3">
        <f t="shared" si="38"/>
        <v>0</v>
      </c>
    </row>
    <row r="2326" spans="12:12" x14ac:dyDescent="0.35">
      <c r="L2326" s="3">
        <f t="shared" si="38"/>
        <v>0</v>
      </c>
    </row>
    <row r="2327" spans="12:12" x14ac:dyDescent="0.35">
      <c r="L2327" s="3">
        <f t="shared" si="38"/>
        <v>0</v>
      </c>
    </row>
    <row r="2328" spans="12:12" x14ac:dyDescent="0.35">
      <c r="L2328" s="3">
        <f t="shared" si="38"/>
        <v>0</v>
      </c>
    </row>
    <row r="2329" spans="12:12" x14ac:dyDescent="0.35">
      <c r="L2329" s="3">
        <f t="shared" si="38"/>
        <v>0</v>
      </c>
    </row>
    <row r="2330" spans="12:12" x14ac:dyDescent="0.35">
      <c r="L2330" s="3">
        <f t="shared" si="38"/>
        <v>0</v>
      </c>
    </row>
    <row r="2331" spans="12:12" x14ac:dyDescent="0.35">
      <c r="L2331" s="3">
        <f t="shared" si="38"/>
        <v>0</v>
      </c>
    </row>
    <row r="2332" spans="12:12" x14ac:dyDescent="0.35">
      <c r="L2332" s="3">
        <f t="shared" si="38"/>
        <v>0</v>
      </c>
    </row>
    <row r="2333" spans="12:12" x14ac:dyDescent="0.35">
      <c r="L2333" s="3">
        <f t="shared" si="38"/>
        <v>0</v>
      </c>
    </row>
    <row r="2334" spans="12:12" x14ac:dyDescent="0.35">
      <c r="L2334" s="3">
        <f t="shared" si="38"/>
        <v>0</v>
      </c>
    </row>
    <row r="2335" spans="12:12" x14ac:dyDescent="0.35">
      <c r="L2335" s="3">
        <f t="shared" si="38"/>
        <v>0</v>
      </c>
    </row>
    <row r="2336" spans="12:12" x14ac:dyDescent="0.35">
      <c r="L2336" s="3">
        <f t="shared" si="38"/>
        <v>0</v>
      </c>
    </row>
    <row r="2337" spans="12:12" x14ac:dyDescent="0.35">
      <c r="L2337" s="3">
        <f t="shared" si="38"/>
        <v>0</v>
      </c>
    </row>
    <row r="2338" spans="12:12" x14ac:dyDescent="0.35">
      <c r="L2338" s="3">
        <f t="shared" si="38"/>
        <v>0</v>
      </c>
    </row>
    <row r="2339" spans="12:12" x14ac:dyDescent="0.35">
      <c r="L2339" s="3">
        <f t="shared" si="38"/>
        <v>0</v>
      </c>
    </row>
    <row r="2340" spans="12:12" x14ac:dyDescent="0.35">
      <c r="L2340" s="3">
        <f t="shared" si="38"/>
        <v>0</v>
      </c>
    </row>
    <row r="2341" spans="12:12" x14ac:dyDescent="0.35">
      <c r="L2341" s="3">
        <f t="shared" si="38"/>
        <v>0</v>
      </c>
    </row>
    <row r="2342" spans="12:12" x14ac:dyDescent="0.35">
      <c r="L2342" s="3">
        <f t="shared" si="38"/>
        <v>0</v>
      </c>
    </row>
    <row r="2343" spans="12:12" x14ac:dyDescent="0.35">
      <c r="L2343" s="3">
        <f t="shared" si="38"/>
        <v>0</v>
      </c>
    </row>
    <row r="2344" spans="12:12" x14ac:dyDescent="0.35">
      <c r="L2344" s="3">
        <f t="shared" si="38"/>
        <v>0</v>
      </c>
    </row>
    <row r="2345" spans="12:12" x14ac:dyDescent="0.35">
      <c r="L2345" s="3">
        <f t="shared" si="38"/>
        <v>0</v>
      </c>
    </row>
    <row r="2346" spans="12:12" x14ac:dyDescent="0.35">
      <c r="L2346" s="3">
        <f t="shared" si="38"/>
        <v>0</v>
      </c>
    </row>
    <row r="2347" spans="12:12" x14ac:dyDescent="0.35">
      <c r="L2347" s="3">
        <f t="shared" si="38"/>
        <v>0</v>
      </c>
    </row>
    <row r="2348" spans="12:12" x14ac:dyDescent="0.35">
      <c r="L2348" s="3">
        <f t="shared" si="38"/>
        <v>0</v>
      </c>
    </row>
    <row r="2349" spans="12:12" x14ac:dyDescent="0.35">
      <c r="L2349" s="3">
        <f t="shared" si="38"/>
        <v>0</v>
      </c>
    </row>
    <row r="2350" spans="12:12" x14ac:dyDescent="0.35">
      <c r="L2350" s="3">
        <f t="shared" si="38"/>
        <v>0</v>
      </c>
    </row>
    <row r="2351" spans="12:12" x14ac:dyDescent="0.35">
      <c r="L2351" s="3">
        <f t="shared" si="38"/>
        <v>0</v>
      </c>
    </row>
    <row r="2352" spans="12:12" x14ac:dyDescent="0.35">
      <c r="L2352" s="3">
        <f t="shared" si="38"/>
        <v>0</v>
      </c>
    </row>
    <row r="2353" spans="12:12" x14ac:dyDescent="0.35">
      <c r="L2353" s="3">
        <f t="shared" si="38"/>
        <v>0</v>
      </c>
    </row>
    <row r="2354" spans="12:12" x14ac:dyDescent="0.35">
      <c r="L2354" s="3">
        <f t="shared" si="38"/>
        <v>0</v>
      </c>
    </row>
    <row r="2355" spans="12:12" x14ac:dyDescent="0.35">
      <c r="L2355" s="3">
        <f t="shared" si="38"/>
        <v>0</v>
      </c>
    </row>
    <row r="2356" spans="12:12" x14ac:dyDescent="0.35">
      <c r="L2356" s="3">
        <f t="shared" si="38"/>
        <v>0</v>
      </c>
    </row>
    <row r="2357" spans="12:12" x14ac:dyDescent="0.35">
      <c r="L2357" s="3">
        <f t="shared" si="38"/>
        <v>0</v>
      </c>
    </row>
    <row r="2358" spans="12:12" x14ac:dyDescent="0.35">
      <c r="L2358" s="3">
        <f t="shared" si="38"/>
        <v>0</v>
      </c>
    </row>
    <row r="2359" spans="12:12" x14ac:dyDescent="0.35">
      <c r="L2359" s="3">
        <f t="shared" si="38"/>
        <v>0</v>
      </c>
    </row>
    <row r="2360" spans="12:12" x14ac:dyDescent="0.35">
      <c r="L2360" s="3">
        <f t="shared" si="38"/>
        <v>0</v>
      </c>
    </row>
    <row r="2361" spans="12:12" x14ac:dyDescent="0.35">
      <c r="L2361" s="3">
        <f t="shared" si="38"/>
        <v>0</v>
      </c>
    </row>
    <row r="2362" spans="12:12" x14ac:dyDescent="0.35">
      <c r="L2362" s="3">
        <f t="shared" si="38"/>
        <v>0</v>
      </c>
    </row>
    <row r="2363" spans="12:12" x14ac:dyDescent="0.35">
      <c r="L2363" s="3">
        <f t="shared" ref="L2363:L2426" si="39">K2363*C2363</f>
        <v>0</v>
      </c>
    </row>
    <row r="2364" spans="12:12" x14ac:dyDescent="0.35">
      <c r="L2364" s="3">
        <f t="shared" si="39"/>
        <v>0</v>
      </c>
    </row>
    <row r="2365" spans="12:12" x14ac:dyDescent="0.35">
      <c r="L2365" s="3">
        <f t="shared" si="39"/>
        <v>0</v>
      </c>
    </row>
    <row r="2366" spans="12:12" x14ac:dyDescent="0.35">
      <c r="L2366" s="3">
        <f t="shared" si="39"/>
        <v>0</v>
      </c>
    </row>
    <row r="2367" spans="12:12" x14ac:dyDescent="0.35">
      <c r="L2367" s="3">
        <f t="shared" si="39"/>
        <v>0</v>
      </c>
    </row>
    <row r="2368" spans="12:12" x14ac:dyDescent="0.35">
      <c r="L2368" s="3">
        <f t="shared" si="39"/>
        <v>0</v>
      </c>
    </row>
    <row r="2369" spans="12:12" x14ac:dyDescent="0.35">
      <c r="L2369" s="3">
        <f t="shared" si="39"/>
        <v>0</v>
      </c>
    </row>
    <row r="2370" spans="12:12" x14ac:dyDescent="0.35">
      <c r="L2370" s="3">
        <f t="shared" si="39"/>
        <v>0</v>
      </c>
    </row>
    <row r="2371" spans="12:12" x14ac:dyDescent="0.35">
      <c r="L2371" s="3">
        <f t="shared" si="39"/>
        <v>0</v>
      </c>
    </row>
    <row r="2372" spans="12:12" x14ac:dyDescent="0.35">
      <c r="L2372" s="3">
        <f t="shared" si="39"/>
        <v>0</v>
      </c>
    </row>
    <row r="2373" spans="12:12" x14ac:dyDescent="0.35">
      <c r="L2373" s="3">
        <f t="shared" si="39"/>
        <v>0</v>
      </c>
    </row>
    <row r="2374" spans="12:12" x14ac:dyDescent="0.35">
      <c r="L2374" s="3">
        <f t="shared" si="39"/>
        <v>0</v>
      </c>
    </row>
    <row r="2375" spans="12:12" x14ac:dyDescent="0.35">
      <c r="L2375" s="3">
        <f t="shared" si="39"/>
        <v>0</v>
      </c>
    </row>
    <row r="2376" spans="12:12" x14ac:dyDescent="0.35">
      <c r="L2376" s="3">
        <f t="shared" si="39"/>
        <v>0</v>
      </c>
    </row>
    <row r="2377" spans="12:12" x14ac:dyDescent="0.35">
      <c r="L2377" s="3">
        <f t="shared" si="39"/>
        <v>0</v>
      </c>
    </row>
    <row r="2378" spans="12:12" x14ac:dyDescent="0.35">
      <c r="L2378" s="3">
        <f t="shared" si="39"/>
        <v>0</v>
      </c>
    </row>
    <row r="2379" spans="12:12" x14ac:dyDescent="0.35">
      <c r="L2379" s="3">
        <f t="shared" si="39"/>
        <v>0</v>
      </c>
    </row>
    <row r="2380" spans="12:12" x14ac:dyDescent="0.35">
      <c r="L2380" s="3">
        <f t="shared" si="39"/>
        <v>0</v>
      </c>
    </row>
    <row r="2381" spans="12:12" x14ac:dyDescent="0.35">
      <c r="L2381" s="3">
        <f t="shared" si="39"/>
        <v>0</v>
      </c>
    </row>
    <row r="2382" spans="12:12" x14ac:dyDescent="0.35">
      <c r="L2382" s="3">
        <f t="shared" si="39"/>
        <v>0</v>
      </c>
    </row>
    <row r="2383" spans="12:12" x14ac:dyDescent="0.35">
      <c r="L2383" s="3">
        <f t="shared" si="39"/>
        <v>0</v>
      </c>
    </row>
    <row r="2384" spans="12:12" x14ac:dyDescent="0.35">
      <c r="L2384" s="3">
        <f t="shared" si="39"/>
        <v>0</v>
      </c>
    </row>
    <row r="2385" spans="12:12" x14ac:dyDescent="0.35">
      <c r="L2385" s="3">
        <f t="shared" si="39"/>
        <v>0</v>
      </c>
    </row>
    <row r="2386" spans="12:12" x14ac:dyDescent="0.35">
      <c r="L2386" s="3">
        <f t="shared" si="39"/>
        <v>0</v>
      </c>
    </row>
    <row r="2387" spans="12:12" x14ac:dyDescent="0.35">
      <c r="L2387" s="3">
        <f t="shared" si="39"/>
        <v>0</v>
      </c>
    </row>
    <row r="2388" spans="12:12" x14ac:dyDescent="0.35">
      <c r="L2388" s="3">
        <f t="shared" si="39"/>
        <v>0</v>
      </c>
    </row>
    <row r="2389" spans="12:12" x14ac:dyDescent="0.35">
      <c r="L2389" s="3">
        <f t="shared" si="39"/>
        <v>0</v>
      </c>
    </row>
    <row r="2390" spans="12:12" x14ac:dyDescent="0.35">
      <c r="L2390" s="3">
        <f t="shared" si="39"/>
        <v>0</v>
      </c>
    </row>
    <row r="2391" spans="12:12" x14ac:dyDescent="0.35">
      <c r="L2391" s="3">
        <f t="shared" si="39"/>
        <v>0</v>
      </c>
    </row>
    <row r="2392" spans="12:12" x14ac:dyDescent="0.35">
      <c r="L2392" s="3">
        <f t="shared" si="39"/>
        <v>0</v>
      </c>
    </row>
    <row r="2393" spans="12:12" x14ac:dyDescent="0.35">
      <c r="L2393" s="3">
        <f t="shared" si="39"/>
        <v>0</v>
      </c>
    </row>
    <row r="2394" spans="12:12" x14ac:dyDescent="0.35">
      <c r="L2394" s="3">
        <f t="shared" si="39"/>
        <v>0</v>
      </c>
    </row>
    <row r="2395" spans="12:12" x14ac:dyDescent="0.35">
      <c r="L2395" s="3">
        <f t="shared" si="39"/>
        <v>0</v>
      </c>
    </row>
    <row r="2396" spans="12:12" x14ac:dyDescent="0.35">
      <c r="L2396" s="3">
        <f t="shared" si="39"/>
        <v>0</v>
      </c>
    </row>
    <row r="2397" spans="12:12" x14ac:dyDescent="0.35">
      <c r="L2397" s="3">
        <f t="shared" si="39"/>
        <v>0</v>
      </c>
    </row>
    <row r="2398" spans="12:12" x14ac:dyDescent="0.35">
      <c r="L2398" s="3">
        <f t="shared" si="39"/>
        <v>0</v>
      </c>
    </row>
    <row r="2399" spans="12:12" x14ac:dyDescent="0.35">
      <c r="L2399" s="3">
        <f t="shared" si="39"/>
        <v>0</v>
      </c>
    </row>
    <row r="2400" spans="12:12" x14ac:dyDescent="0.35">
      <c r="L2400" s="3">
        <f t="shared" si="39"/>
        <v>0</v>
      </c>
    </row>
    <row r="2401" spans="12:12" x14ac:dyDescent="0.35">
      <c r="L2401" s="3">
        <f t="shared" si="39"/>
        <v>0</v>
      </c>
    </row>
    <row r="2402" spans="12:12" x14ac:dyDescent="0.35">
      <c r="L2402" s="3">
        <f t="shared" si="39"/>
        <v>0</v>
      </c>
    </row>
    <row r="2403" spans="12:12" x14ac:dyDescent="0.35">
      <c r="L2403" s="3">
        <f t="shared" si="39"/>
        <v>0</v>
      </c>
    </row>
    <row r="2404" spans="12:12" x14ac:dyDescent="0.35">
      <c r="L2404" s="3">
        <f t="shared" si="39"/>
        <v>0</v>
      </c>
    </row>
    <row r="2405" spans="12:12" x14ac:dyDescent="0.35">
      <c r="L2405" s="3">
        <f t="shared" si="39"/>
        <v>0</v>
      </c>
    </row>
    <row r="2406" spans="12:12" x14ac:dyDescent="0.35">
      <c r="L2406" s="3">
        <f t="shared" si="39"/>
        <v>0</v>
      </c>
    </row>
    <row r="2407" spans="12:12" x14ac:dyDescent="0.35">
      <c r="L2407" s="3">
        <f t="shared" si="39"/>
        <v>0</v>
      </c>
    </row>
    <row r="2408" spans="12:12" x14ac:dyDescent="0.35">
      <c r="L2408" s="3">
        <f t="shared" si="39"/>
        <v>0</v>
      </c>
    </row>
    <row r="2409" spans="12:12" x14ac:dyDescent="0.35">
      <c r="L2409" s="3">
        <f t="shared" si="39"/>
        <v>0</v>
      </c>
    </row>
    <row r="2410" spans="12:12" x14ac:dyDescent="0.35">
      <c r="L2410" s="3">
        <f t="shared" si="39"/>
        <v>0</v>
      </c>
    </row>
    <row r="2411" spans="12:12" x14ac:dyDescent="0.35">
      <c r="L2411" s="3">
        <f t="shared" si="39"/>
        <v>0</v>
      </c>
    </row>
    <row r="2412" spans="12:12" x14ac:dyDescent="0.35">
      <c r="L2412" s="3">
        <f t="shared" si="39"/>
        <v>0</v>
      </c>
    </row>
    <row r="2413" spans="12:12" x14ac:dyDescent="0.35">
      <c r="L2413" s="3">
        <f t="shared" si="39"/>
        <v>0</v>
      </c>
    </row>
    <row r="2414" spans="12:12" x14ac:dyDescent="0.35">
      <c r="L2414" s="3">
        <f t="shared" si="39"/>
        <v>0</v>
      </c>
    </row>
    <row r="2415" spans="12:12" x14ac:dyDescent="0.35">
      <c r="L2415" s="3">
        <f t="shared" si="39"/>
        <v>0</v>
      </c>
    </row>
    <row r="2416" spans="12:12" x14ac:dyDescent="0.35">
      <c r="L2416" s="3">
        <f t="shared" si="39"/>
        <v>0</v>
      </c>
    </row>
    <row r="2417" spans="12:12" x14ac:dyDescent="0.35">
      <c r="L2417" s="3">
        <f t="shared" si="39"/>
        <v>0</v>
      </c>
    </row>
    <row r="2418" spans="12:12" x14ac:dyDescent="0.35">
      <c r="L2418" s="3">
        <f t="shared" si="39"/>
        <v>0</v>
      </c>
    </row>
    <row r="2419" spans="12:12" x14ac:dyDescent="0.35">
      <c r="L2419" s="3">
        <f t="shared" si="39"/>
        <v>0</v>
      </c>
    </row>
    <row r="2420" spans="12:12" x14ac:dyDescent="0.35">
      <c r="L2420" s="3">
        <f t="shared" si="39"/>
        <v>0</v>
      </c>
    </row>
    <row r="2421" spans="12:12" x14ac:dyDescent="0.35">
      <c r="L2421" s="3">
        <f t="shared" si="39"/>
        <v>0</v>
      </c>
    </row>
    <row r="2422" spans="12:12" x14ac:dyDescent="0.35">
      <c r="L2422" s="3">
        <f t="shared" si="39"/>
        <v>0</v>
      </c>
    </row>
    <row r="2423" spans="12:12" x14ac:dyDescent="0.35">
      <c r="L2423" s="3">
        <f t="shared" si="39"/>
        <v>0</v>
      </c>
    </row>
    <row r="2424" spans="12:12" x14ac:dyDescent="0.35">
      <c r="L2424" s="3">
        <f t="shared" si="39"/>
        <v>0</v>
      </c>
    </row>
    <row r="2425" spans="12:12" x14ac:dyDescent="0.35">
      <c r="L2425" s="3">
        <f t="shared" si="39"/>
        <v>0</v>
      </c>
    </row>
    <row r="2426" spans="12:12" x14ac:dyDescent="0.35">
      <c r="L2426" s="3">
        <f t="shared" si="39"/>
        <v>0</v>
      </c>
    </row>
    <row r="2427" spans="12:12" x14ac:dyDescent="0.35">
      <c r="L2427" s="3">
        <f t="shared" ref="L2427:L2490" si="40">K2427*C2427</f>
        <v>0</v>
      </c>
    </row>
    <row r="2428" spans="12:12" x14ac:dyDescent="0.35">
      <c r="L2428" s="3">
        <f t="shared" si="40"/>
        <v>0</v>
      </c>
    </row>
    <row r="2429" spans="12:12" x14ac:dyDescent="0.35">
      <c r="L2429" s="3">
        <f t="shared" si="40"/>
        <v>0</v>
      </c>
    </row>
    <row r="2430" spans="12:12" x14ac:dyDescent="0.35">
      <c r="L2430" s="3">
        <f t="shared" si="40"/>
        <v>0</v>
      </c>
    </row>
    <row r="2431" spans="12:12" x14ac:dyDescent="0.35">
      <c r="L2431" s="3">
        <f t="shared" si="40"/>
        <v>0</v>
      </c>
    </row>
    <row r="2432" spans="12:12" x14ac:dyDescent="0.35">
      <c r="L2432" s="3">
        <f t="shared" si="40"/>
        <v>0</v>
      </c>
    </row>
    <row r="2433" spans="12:12" x14ac:dyDescent="0.35">
      <c r="L2433" s="3">
        <f t="shared" si="40"/>
        <v>0</v>
      </c>
    </row>
    <row r="2434" spans="12:12" x14ac:dyDescent="0.35">
      <c r="L2434" s="3">
        <f t="shared" si="40"/>
        <v>0</v>
      </c>
    </row>
    <row r="2435" spans="12:12" x14ac:dyDescent="0.35">
      <c r="L2435" s="3">
        <f t="shared" si="40"/>
        <v>0</v>
      </c>
    </row>
    <row r="2436" spans="12:12" x14ac:dyDescent="0.35">
      <c r="L2436" s="3">
        <f t="shared" si="40"/>
        <v>0</v>
      </c>
    </row>
    <row r="2437" spans="12:12" x14ac:dyDescent="0.35">
      <c r="L2437" s="3">
        <f t="shared" si="40"/>
        <v>0</v>
      </c>
    </row>
    <row r="2438" spans="12:12" x14ac:dyDescent="0.35">
      <c r="L2438" s="3">
        <f t="shared" si="40"/>
        <v>0</v>
      </c>
    </row>
    <row r="2439" spans="12:12" x14ac:dyDescent="0.35">
      <c r="L2439" s="3">
        <f t="shared" si="40"/>
        <v>0</v>
      </c>
    </row>
    <row r="2440" spans="12:12" x14ac:dyDescent="0.35">
      <c r="L2440" s="3">
        <f t="shared" si="40"/>
        <v>0</v>
      </c>
    </row>
    <row r="2441" spans="12:12" x14ac:dyDescent="0.35">
      <c r="L2441" s="3">
        <f t="shared" si="40"/>
        <v>0</v>
      </c>
    </row>
    <row r="2442" spans="12:12" x14ac:dyDescent="0.35">
      <c r="L2442" s="3">
        <f t="shared" si="40"/>
        <v>0</v>
      </c>
    </row>
    <row r="2443" spans="12:12" x14ac:dyDescent="0.35">
      <c r="L2443" s="3">
        <f t="shared" si="40"/>
        <v>0</v>
      </c>
    </row>
    <row r="2444" spans="12:12" x14ac:dyDescent="0.35">
      <c r="L2444" s="3">
        <f t="shared" si="40"/>
        <v>0</v>
      </c>
    </row>
    <row r="2445" spans="12:12" x14ac:dyDescent="0.35">
      <c r="L2445" s="3">
        <f t="shared" si="40"/>
        <v>0</v>
      </c>
    </row>
    <row r="2446" spans="12:12" x14ac:dyDescent="0.35">
      <c r="L2446" s="3">
        <f t="shared" si="40"/>
        <v>0</v>
      </c>
    </row>
    <row r="2447" spans="12:12" x14ac:dyDescent="0.35">
      <c r="L2447" s="3">
        <f t="shared" si="40"/>
        <v>0</v>
      </c>
    </row>
    <row r="2448" spans="12:12" x14ac:dyDescent="0.35">
      <c r="L2448" s="3">
        <f t="shared" si="40"/>
        <v>0</v>
      </c>
    </row>
    <row r="2449" spans="12:12" x14ac:dyDescent="0.35">
      <c r="L2449" s="3">
        <f t="shared" si="40"/>
        <v>0</v>
      </c>
    </row>
    <row r="2450" spans="12:12" x14ac:dyDescent="0.35">
      <c r="L2450" s="3">
        <f t="shared" si="40"/>
        <v>0</v>
      </c>
    </row>
    <row r="2451" spans="12:12" x14ac:dyDescent="0.35">
      <c r="L2451" s="3">
        <f t="shared" si="40"/>
        <v>0</v>
      </c>
    </row>
    <row r="2452" spans="12:12" x14ac:dyDescent="0.35">
      <c r="L2452" s="3">
        <f t="shared" si="40"/>
        <v>0</v>
      </c>
    </row>
    <row r="2453" spans="12:12" x14ac:dyDescent="0.35">
      <c r="L2453" s="3">
        <f t="shared" si="40"/>
        <v>0</v>
      </c>
    </row>
    <row r="2454" spans="12:12" x14ac:dyDescent="0.35">
      <c r="L2454" s="3">
        <f t="shared" si="40"/>
        <v>0</v>
      </c>
    </row>
    <row r="2455" spans="12:12" x14ac:dyDescent="0.35">
      <c r="L2455" s="3">
        <f t="shared" si="40"/>
        <v>0</v>
      </c>
    </row>
    <row r="2456" spans="12:12" x14ac:dyDescent="0.35">
      <c r="L2456" s="3">
        <f t="shared" si="40"/>
        <v>0</v>
      </c>
    </row>
    <row r="2457" spans="12:12" x14ac:dyDescent="0.35">
      <c r="L2457" s="3">
        <f t="shared" si="40"/>
        <v>0</v>
      </c>
    </row>
    <row r="2458" spans="12:12" x14ac:dyDescent="0.35">
      <c r="L2458" s="3">
        <f t="shared" si="40"/>
        <v>0</v>
      </c>
    </row>
    <row r="2459" spans="12:12" x14ac:dyDescent="0.35">
      <c r="L2459" s="3">
        <f t="shared" si="40"/>
        <v>0</v>
      </c>
    </row>
    <row r="2460" spans="12:12" x14ac:dyDescent="0.35">
      <c r="L2460" s="3">
        <f t="shared" si="40"/>
        <v>0</v>
      </c>
    </row>
    <row r="2461" spans="12:12" x14ac:dyDescent="0.35">
      <c r="L2461" s="3">
        <f t="shared" si="40"/>
        <v>0</v>
      </c>
    </row>
    <row r="2462" spans="12:12" x14ac:dyDescent="0.35">
      <c r="L2462" s="3">
        <f t="shared" si="40"/>
        <v>0</v>
      </c>
    </row>
    <row r="2463" spans="12:12" x14ac:dyDescent="0.35">
      <c r="L2463" s="3">
        <f t="shared" si="40"/>
        <v>0</v>
      </c>
    </row>
    <row r="2464" spans="12:12" x14ac:dyDescent="0.35">
      <c r="L2464" s="3">
        <f t="shared" si="40"/>
        <v>0</v>
      </c>
    </row>
    <row r="2465" spans="12:12" x14ac:dyDescent="0.35">
      <c r="L2465" s="3">
        <f t="shared" si="40"/>
        <v>0</v>
      </c>
    </row>
    <row r="2466" spans="12:12" x14ac:dyDescent="0.35">
      <c r="L2466" s="3">
        <f t="shared" si="40"/>
        <v>0</v>
      </c>
    </row>
    <row r="2467" spans="12:12" x14ac:dyDescent="0.35">
      <c r="L2467" s="3">
        <f t="shared" si="40"/>
        <v>0</v>
      </c>
    </row>
    <row r="2468" spans="12:12" x14ac:dyDescent="0.35">
      <c r="L2468" s="3">
        <f t="shared" si="40"/>
        <v>0</v>
      </c>
    </row>
    <row r="2469" spans="12:12" x14ac:dyDescent="0.35">
      <c r="L2469" s="3">
        <f t="shared" si="40"/>
        <v>0</v>
      </c>
    </row>
    <row r="2470" spans="12:12" x14ac:dyDescent="0.35">
      <c r="L2470" s="3">
        <f t="shared" si="40"/>
        <v>0</v>
      </c>
    </row>
    <row r="2471" spans="12:12" x14ac:dyDescent="0.35">
      <c r="L2471" s="3">
        <f t="shared" si="40"/>
        <v>0</v>
      </c>
    </row>
    <row r="2472" spans="12:12" x14ac:dyDescent="0.35">
      <c r="L2472" s="3">
        <f t="shared" si="40"/>
        <v>0</v>
      </c>
    </row>
    <row r="2473" spans="12:12" x14ac:dyDescent="0.35">
      <c r="L2473" s="3">
        <f t="shared" si="40"/>
        <v>0</v>
      </c>
    </row>
    <row r="2474" spans="12:12" x14ac:dyDescent="0.35">
      <c r="L2474" s="3">
        <f t="shared" si="40"/>
        <v>0</v>
      </c>
    </row>
    <row r="2475" spans="12:12" x14ac:dyDescent="0.35">
      <c r="L2475" s="3">
        <f t="shared" si="40"/>
        <v>0</v>
      </c>
    </row>
    <row r="2476" spans="12:12" x14ac:dyDescent="0.35">
      <c r="L2476" s="3">
        <f t="shared" si="40"/>
        <v>0</v>
      </c>
    </row>
    <row r="2477" spans="12:12" x14ac:dyDescent="0.35">
      <c r="L2477" s="3">
        <f t="shared" si="40"/>
        <v>0</v>
      </c>
    </row>
    <row r="2478" spans="12:12" x14ac:dyDescent="0.35">
      <c r="L2478" s="3">
        <f t="shared" si="40"/>
        <v>0</v>
      </c>
    </row>
    <row r="2479" spans="12:12" x14ac:dyDescent="0.35">
      <c r="L2479" s="3">
        <f t="shared" si="40"/>
        <v>0</v>
      </c>
    </row>
    <row r="2480" spans="12:12" x14ac:dyDescent="0.35">
      <c r="L2480" s="3">
        <f t="shared" si="40"/>
        <v>0</v>
      </c>
    </row>
    <row r="2481" spans="12:12" x14ac:dyDescent="0.35">
      <c r="L2481" s="3">
        <f t="shared" si="40"/>
        <v>0</v>
      </c>
    </row>
    <row r="2482" spans="12:12" x14ac:dyDescent="0.35">
      <c r="L2482" s="3">
        <f t="shared" si="40"/>
        <v>0</v>
      </c>
    </row>
    <row r="2483" spans="12:12" x14ac:dyDescent="0.35">
      <c r="L2483" s="3">
        <f t="shared" si="40"/>
        <v>0</v>
      </c>
    </row>
    <row r="2484" spans="12:12" x14ac:dyDescent="0.35">
      <c r="L2484" s="3">
        <f t="shared" si="40"/>
        <v>0</v>
      </c>
    </row>
    <row r="2485" spans="12:12" x14ac:dyDescent="0.35">
      <c r="L2485" s="3">
        <f t="shared" si="40"/>
        <v>0</v>
      </c>
    </row>
    <row r="2486" spans="12:12" x14ac:dyDescent="0.35">
      <c r="L2486" s="3">
        <f t="shared" si="40"/>
        <v>0</v>
      </c>
    </row>
    <row r="2487" spans="12:12" x14ac:dyDescent="0.35">
      <c r="L2487" s="3">
        <f t="shared" si="40"/>
        <v>0</v>
      </c>
    </row>
    <row r="2488" spans="12:12" x14ac:dyDescent="0.35">
      <c r="L2488" s="3">
        <f t="shared" si="40"/>
        <v>0</v>
      </c>
    </row>
    <row r="2489" spans="12:12" x14ac:dyDescent="0.35">
      <c r="L2489" s="3">
        <f t="shared" si="40"/>
        <v>0</v>
      </c>
    </row>
    <row r="2490" spans="12:12" x14ac:dyDescent="0.35">
      <c r="L2490" s="3">
        <f t="shared" si="40"/>
        <v>0</v>
      </c>
    </row>
    <row r="2491" spans="12:12" x14ac:dyDescent="0.35">
      <c r="L2491" s="3">
        <f t="shared" ref="L2491:L2554" si="41">K2491*C2491</f>
        <v>0</v>
      </c>
    </row>
    <row r="2492" spans="12:12" x14ac:dyDescent="0.35">
      <c r="L2492" s="3">
        <f t="shared" si="41"/>
        <v>0</v>
      </c>
    </row>
    <row r="2493" spans="12:12" x14ac:dyDescent="0.35">
      <c r="L2493" s="3">
        <f t="shared" si="41"/>
        <v>0</v>
      </c>
    </row>
    <row r="2494" spans="12:12" x14ac:dyDescent="0.35">
      <c r="L2494" s="3">
        <f t="shared" si="41"/>
        <v>0</v>
      </c>
    </row>
    <row r="2495" spans="12:12" x14ac:dyDescent="0.35">
      <c r="L2495" s="3">
        <f t="shared" si="41"/>
        <v>0</v>
      </c>
    </row>
    <row r="2496" spans="12:12" x14ac:dyDescent="0.35">
      <c r="L2496" s="3">
        <f t="shared" si="41"/>
        <v>0</v>
      </c>
    </row>
    <row r="2497" spans="12:12" x14ac:dyDescent="0.35">
      <c r="L2497" s="3">
        <f t="shared" si="41"/>
        <v>0</v>
      </c>
    </row>
    <row r="2498" spans="12:12" x14ac:dyDescent="0.35">
      <c r="L2498" s="3">
        <f t="shared" si="41"/>
        <v>0</v>
      </c>
    </row>
    <row r="2499" spans="12:12" x14ac:dyDescent="0.35">
      <c r="L2499" s="3">
        <f t="shared" si="41"/>
        <v>0</v>
      </c>
    </row>
    <row r="2500" spans="12:12" x14ac:dyDescent="0.35">
      <c r="L2500" s="3">
        <f t="shared" si="41"/>
        <v>0</v>
      </c>
    </row>
    <row r="2501" spans="12:12" x14ac:dyDescent="0.35">
      <c r="L2501" s="3">
        <f t="shared" si="41"/>
        <v>0</v>
      </c>
    </row>
    <row r="2502" spans="12:12" x14ac:dyDescent="0.35">
      <c r="L2502" s="3">
        <f t="shared" si="41"/>
        <v>0</v>
      </c>
    </row>
    <row r="2503" spans="12:12" x14ac:dyDescent="0.35">
      <c r="L2503" s="3">
        <f t="shared" si="41"/>
        <v>0</v>
      </c>
    </row>
    <row r="2504" spans="12:12" x14ac:dyDescent="0.35">
      <c r="L2504" s="3">
        <f t="shared" si="41"/>
        <v>0</v>
      </c>
    </row>
    <row r="2505" spans="12:12" x14ac:dyDescent="0.35">
      <c r="L2505" s="3">
        <f t="shared" si="41"/>
        <v>0</v>
      </c>
    </row>
    <row r="2506" spans="12:12" x14ac:dyDescent="0.35">
      <c r="L2506" s="3">
        <f t="shared" si="41"/>
        <v>0</v>
      </c>
    </row>
    <row r="2507" spans="12:12" x14ac:dyDescent="0.35">
      <c r="L2507" s="3">
        <f t="shared" si="41"/>
        <v>0</v>
      </c>
    </row>
    <row r="2508" spans="12:12" x14ac:dyDescent="0.35">
      <c r="L2508" s="3">
        <f t="shared" si="41"/>
        <v>0</v>
      </c>
    </row>
    <row r="2509" spans="12:12" x14ac:dyDescent="0.35">
      <c r="L2509" s="3">
        <f t="shared" si="41"/>
        <v>0</v>
      </c>
    </row>
    <row r="2510" spans="12:12" x14ac:dyDescent="0.35">
      <c r="L2510" s="3">
        <f t="shared" si="41"/>
        <v>0</v>
      </c>
    </row>
    <row r="2511" spans="12:12" x14ac:dyDescent="0.35">
      <c r="L2511" s="3">
        <f t="shared" si="41"/>
        <v>0</v>
      </c>
    </row>
    <row r="2512" spans="12:12" x14ac:dyDescent="0.35">
      <c r="L2512" s="3">
        <f t="shared" si="41"/>
        <v>0</v>
      </c>
    </row>
    <row r="2513" spans="12:12" x14ac:dyDescent="0.35">
      <c r="L2513" s="3">
        <f t="shared" si="41"/>
        <v>0</v>
      </c>
    </row>
    <row r="2514" spans="12:12" x14ac:dyDescent="0.35">
      <c r="L2514" s="3">
        <f t="shared" si="41"/>
        <v>0</v>
      </c>
    </row>
    <row r="2515" spans="12:12" x14ac:dyDescent="0.35">
      <c r="L2515" s="3">
        <f t="shared" si="41"/>
        <v>0</v>
      </c>
    </row>
    <row r="2516" spans="12:12" x14ac:dyDescent="0.35">
      <c r="L2516" s="3">
        <f t="shared" si="41"/>
        <v>0</v>
      </c>
    </row>
    <row r="2517" spans="12:12" x14ac:dyDescent="0.35">
      <c r="L2517" s="3">
        <f t="shared" si="41"/>
        <v>0</v>
      </c>
    </row>
    <row r="2518" spans="12:12" x14ac:dyDescent="0.35">
      <c r="L2518" s="3">
        <f t="shared" si="41"/>
        <v>0</v>
      </c>
    </row>
    <row r="2519" spans="12:12" x14ac:dyDescent="0.35">
      <c r="L2519" s="3">
        <f t="shared" si="41"/>
        <v>0</v>
      </c>
    </row>
    <row r="2520" spans="12:12" x14ac:dyDescent="0.35">
      <c r="L2520" s="3">
        <f t="shared" si="41"/>
        <v>0</v>
      </c>
    </row>
    <row r="2521" spans="12:12" x14ac:dyDescent="0.35">
      <c r="L2521" s="3">
        <f t="shared" si="41"/>
        <v>0</v>
      </c>
    </row>
    <row r="2522" spans="12:12" x14ac:dyDescent="0.35">
      <c r="L2522" s="3">
        <f t="shared" si="41"/>
        <v>0</v>
      </c>
    </row>
    <row r="2523" spans="12:12" x14ac:dyDescent="0.35">
      <c r="L2523" s="3">
        <f t="shared" si="41"/>
        <v>0</v>
      </c>
    </row>
    <row r="2524" spans="12:12" x14ac:dyDescent="0.35">
      <c r="L2524" s="3">
        <f t="shared" si="41"/>
        <v>0</v>
      </c>
    </row>
    <row r="2525" spans="12:12" x14ac:dyDescent="0.35">
      <c r="L2525" s="3">
        <f t="shared" si="41"/>
        <v>0</v>
      </c>
    </row>
    <row r="2526" spans="12:12" x14ac:dyDescent="0.35">
      <c r="L2526" s="3">
        <f t="shared" si="41"/>
        <v>0</v>
      </c>
    </row>
    <row r="2527" spans="12:12" x14ac:dyDescent="0.35">
      <c r="L2527" s="3">
        <f t="shared" si="41"/>
        <v>0</v>
      </c>
    </row>
    <row r="2528" spans="12:12" x14ac:dyDescent="0.35">
      <c r="L2528" s="3">
        <f t="shared" si="41"/>
        <v>0</v>
      </c>
    </row>
    <row r="2529" spans="12:12" x14ac:dyDescent="0.35">
      <c r="L2529" s="3">
        <f t="shared" si="41"/>
        <v>0</v>
      </c>
    </row>
    <row r="2530" spans="12:12" x14ac:dyDescent="0.35">
      <c r="L2530" s="3">
        <f t="shared" si="41"/>
        <v>0</v>
      </c>
    </row>
    <row r="2531" spans="12:12" x14ac:dyDescent="0.35">
      <c r="L2531" s="3">
        <f t="shared" si="41"/>
        <v>0</v>
      </c>
    </row>
    <row r="2532" spans="12:12" x14ac:dyDescent="0.35">
      <c r="L2532" s="3">
        <f t="shared" si="41"/>
        <v>0</v>
      </c>
    </row>
    <row r="2533" spans="12:12" x14ac:dyDescent="0.35">
      <c r="L2533" s="3">
        <f t="shared" si="41"/>
        <v>0</v>
      </c>
    </row>
    <row r="2534" spans="12:12" x14ac:dyDescent="0.35">
      <c r="L2534" s="3">
        <f t="shared" si="41"/>
        <v>0</v>
      </c>
    </row>
    <row r="2535" spans="12:12" x14ac:dyDescent="0.35">
      <c r="L2535" s="3">
        <f t="shared" si="41"/>
        <v>0</v>
      </c>
    </row>
    <row r="2536" spans="12:12" x14ac:dyDescent="0.35">
      <c r="L2536" s="3">
        <f t="shared" si="41"/>
        <v>0</v>
      </c>
    </row>
    <row r="2537" spans="12:12" x14ac:dyDescent="0.35">
      <c r="L2537" s="3">
        <f t="shared" si="41"/>
        <v>0</v>
      </c>
    </row>
    <row r="2538" spans="12:12" x14ac:dyDescent="0.35">
      <c r="L2538" s="3">
        <f t="shared" si="41"/>
        <v>0</v>
      </c>
    </row>
    <row r="2539" spans="12:12" x14ac:dyDescent="0.35">
      <c r="L2539" s="3">
        <f t="shared" si="41"/>
        <v>0</v>
      </c>
    </row>
    <row r="2540" spans="12:12" x14ac:dyDescent="0.35">
      <c r="L2540" s="3">
        <f t="shared" si="41"/>
        <v>0</v>
      </c>
    </row>
    <row r="2541" spans="12:12" x14ac:dyDescent="0.35">
      <c r="L2541" s="3">
        <f t="shared" si="41"/>
        <v>0</v>
      </c>
    </row>
    <row r="2542" spans="12:12" x14ac:dyDescent="0.35">
      <c r="L2542" s="3">
        <f t="shared" si="41"/>
        <v>0</v>
      </c>
    </row>
    <row r="2543" spans="12:12" x14ac:dyDescent="0.35">
      <c r="L2543" s="3">
        <f t="shared" si="41"/>
        <v>0</v>
      </c>
    </row>
    <row r="2544" spans="12:12" x14ac:dyDescent="0.35">
      <c r="L2544" s="3">
        <f t="shared" si="41"/>
        <v>0</v>
      </c>
    </row>
    <row r="2545" spans="12:12" x14ac:dyDescent="0.35">
      <c r="L2545" s="3">
        <f t="shared" si="41"/>
        <v>0</v>
      </c>
    </row>
    <row r="2546" spans="12:12" x14ac:dyDescent="0.35">
      <c r="L2546" s="3">
        <f t="shared" si="41"/>
        <v>0</v>
      </c>
    </row>
    <row r="2547" spans="12:12" x14ac:dyDescent="0.35">
      <c r="L2547" s="3">
        <f t="shared" si="41"/>
        <v>0</v>
      </c>
    </row>
    <row r="2548" spans="12:12" x14ac:dyDescent="0.35">
      <c r="L2548" s="3">
        <f t="shared" si="41"/>
        <v>0</v>
      </c>
    </row>
    <row r="2549" spans="12:12" x14ac:dyDescent="0.35">
      <c r="L2549" s="3">
        <f t="shared" si="41"/>
        <v>0</v>
      </c>
    </row>
    <row r="2550" spans="12:12" x14ac:dyDescent="0.35">
      <c r="L2550" s="3">
        <f t="shared" si="41"/>
        <v>0</v>
      </c>
    </row>
    <row r="2551" spans="12:12" x14ac:dyDescent="0.35">
      <c r="L2551" s="3">
        <f t="shared" si="41"/>
        <v>0</v>
      </c>
    </row>
    <row r="2552" spans="12:12" x14ac:dyDescent="0.35">
      <c r="L2552" s="3">
        <f t="shared" si="41"/>
        <v>0</v>
      </c>
    </row>
    <row r="2553" spans="12:12" x14ac:dyDescent="0.35">
      <c r="L2553" s="3">
        <f t="shared" si="41"/>
        <v>0</v>
      </c>
    </row>
    <row r="2554" spans="12:12" x14ac:dyDescent="0.35">
      <c r="L2554" s="3">
        <f t="shared" si="41"/>
        <v>0</v>
      </c>
    </row>
    <row r="2555" spans="12:12" x14ac:dyDescent="0.35">
      <c r="L2555" s="3">
        <f t="shared" ref="L2555:L2618" si="42">K2555*C2555</f>
        <v>0</v>
      </c>
    </row>
    <row r="2556" spans="12:12" x14ac:dyDescent="0.35">
      <c r="L2556" s="3">
        <f t="shared" si="42"/>
        <v>0</v>
      </c>
    </row>
    <row r="2557" spans="12:12" x14ac:dyDescent="0.35">
      <c r="L2557" s="3">
        <f t="shared" si="42"/>
        <v>0</v>
      </c>
    </row>
    <row r="2558" spans="12:12" x14ac:dyDescent="0.35">
      <c r="L2558" s="3">
        <f t="shared" si="42"/>
        <v>0</v>
      </c>
    </row>
    <row r="2559" spans="12:12" x14ac:dyDescent="0.35">
      <c r="L2559" s="3">
        <f t="shared" si="42"/>
        <v>0</v>
      </c>
    </row>
    <row r="2560" spans="12:12" x14ac:dyDescent="0.35">
      <c r="L2560" s="3">
        <f t="shared" si="42"/>
        <v>0</v>
      </c>
    </row>
    <row r="2561" spans="12:12" x14ac:dyDescent="0.35">
      <c r="L2561" s="3">
        <f t="shared" si="42"/>
        <v>0</v>
      </c>
    </row>
    <row r="2562" spans="12:12" x14ac:dyDescent="0.35">
      <c r="L2562" s="3">
        <f t="shared" si="42"/>
        <v>0</v>
      </c>
    </row>
    <row r="2563" spans="12:12" x14ac:dyDescent="0.35">
      <c r="L2563" s="3">
        <f t="shared" si="42"/>
        <v>0</v>
      </c>
    </row>
    <row r="2564" spans="12:12" x14ac:dyDescent="0.35">
      <c r="L2564" s="3">
        <f t="shared" si="42"/>
        <v>0</v>
      </c>
    </row>
    <row r="2565" spans="12:12" x14ac:dyDescent="0.35">
      <c r="L2565" s="3">
        <f t="shared" si="42"/>
        <v>0</v>
      </c>
    </row>
    <row r="2566" spans="12:12" x14ac:dyDescent="0.35">
      <c r="L2566" s="3">
        <f t="shared" si="42"/>
        <v>0</v>
      </c>
    </row>
    <row r="2567" spans="12:12" x14ac:dyDescent="0.35">
      <c r="L2567" s="3">
        <f t="shared" si="42"/>
        <v>0</v>
      </c>
    </row>
    <row r="2568" spans="12:12" x14ac:dyDescent="0.35">
      <c r="L2568" s="3">
        <f t="shared" si="42"/>
        <v>0</v>
      </c>
    </row>
    <row r="2569" spans="12:12" x14ac:dyDescent="0.35">
      <c r="L2569" s="3">
        <f t="shared" si="42"/>
        <v>0</v>
      </c>
    </row>
    <row r="2570" spans="12:12" x14ac:dyDescent="0.35">
      <c r="L2570" s="3">
        <f t="shared" si="42"/>
        <v>0</v>
      </c>
    </row>
    <row r="2571" spans="12:12" x14ac:dyDescent="0.35">
      <c r="L2571" s="3">
        <f t="shared" si="42"/>
        <v>0</v>
      </c>
    </row>
    <row r="2572" spans="12:12" x14ac:dyDescent="0.35">
      <c r="L2572" s="3">
        <f t="shared" si="42"/>
        <v>0</v>
      </c>
    </row>
    <row r="2573" spans="12:12" x14ac:dyDescent="0.35">
      <c r="L2573" s="3">
        <f t="shared" si="42"/>
        <v>0</v>
      </c>
    </row>
    <row r="2574" spans="12:12" x14ac:dyDescent="0.35">
      <c r="L2574" s="3">
        <f t="shared" si="42"/>
        <v>0</v>
      </c>
    </row>
    <row r="2575" spans="12:12" x14ac:dyDescent="0.35">
      <c r="L2575" s="3">
        <f t="shared" si="42"/>
        <v>0</v>
      </c>
    </row>
    <row r="2576" spans="12:12" x14ac:dyDescent="0.35">
      <c r="L2576" s="3">
        <f t="shared" si="42"/>
        <v>0</v>
      </c>
    </row>
    <row r="2577" spans="12:12" x14ac:dyDescent="0.35">
      <c r="L2577" s="3">
        <f t="shared" si="42"/>
        <v>0</v>
      </c>
    </row>
    <row r="2578" spans="12:12" x14ac:dyDescent="0.35">
      <c r="L2578" s="3">
        <f t="shared" si="42"/>
        <v>0</v>
      </c>
    </row>
    <row r="2579" spans="12:12" x14ac:dyDescent="0.35">
      <c r="L2579" s="3">
        <f t="shared" si="42"/>
        <v>0</v>
      </c>
    </row>
    <row r="2580" spans="12:12" x14ac:dyDescent="0.35">
      <c r="L2580" s="3">
        <f t="shared" si="42"/>
        <v>0</v>
      </c>
    </row>
    <row r="2581" spans="12:12" x14ac:dyDescent="0.35">
      <c r="L2581" s="3">
        <f t="shared" si="42"/>
        <v>0</v>
      </c>
    </row>
    <row r="2582" spans="12:12" x14ac:dyDescent="0.35">
      <c r="L2582" s="3">
        <f t="shared" si="42"/>
        <v>0</v>
      </c>
    </row>
    <row r="2583" spans="12:12" x14ac:dyDescent="0.35">
      <c r="L2583" s="3">
        <f t="shared" si="42"/>
        <v>0</v>
      </c>
    </row>
    <row r="2584" spans="12:12" x14ac:dyDescent="0.35">
      <c r="L2584" s="3">
        <f t="shared" si="42"/>
        <v>0</v>
      </c>
    </row>
    <row r="2585" spans="12:12" x14ac:dyDescent="0.35">
      <c r="L2585" s="3">
        <f t="shared" si="42"/>
        <v>0</v>
      </c>
    </row>
    <row r="2586" spans="12:12" x14ac:dyDescent="0.35">
      <c r="L2586" s="3">
        <f t="shared" si="42"/>
        <v>0</v>
      </c>
    </row>
    <row r="2587" spans="12:12" x14ac:dyDescent="0.35">
      <c r="L2587" s="3">
        <f t="shared" si="42"/>
        <v>0</v>
      </c>
    </row>
    <row r="2588" spans="12:12" x14ac:dyDescent="0.35">
      <c r="L2588" s="3">
        <f t="shared" si="42"/>
        <v>0</v>
      </c>
    </row>
    <row r="2589" spans="12:12" x14ac:dyDescent="0.35">
      <c r="L2589" s="3">
        <f t="shared" si="42"/>
        <v>0</v>
      </c>
    </row>
    <row r="2590" spans="12:12" x14ac:dyDescent="0.35">
      <c r="L2590" s="3">
        <f t="shared" si="42"/>
        <v>0</v>
      </c>
    </row>
    <row r="2591" spans="12:12" x14ac:dyDescent="0.35">
      <c r="L2591" s="3">
        <f t="shared" si="42"/>
        <v>0</v>
      </c>
    </row>
    <row r="2592" spans="12:12" x14ac:dyDescent="0.35">
      <c r="L2592" s="3">
        <f t="shared" si="42"/>
        <v>0</v>
      </c>
    </row>
    <row r="2593" spans="12:12" x14ac:dyDescent="0.35">
      <c r="L2593" s="3">
        <f t="shared" si="42"/>
        <v>0</v>
      </c>
    </row>
    <row r="2594" spans="12:12" x14ac:dyDescent="0.35">
      <c r="L2594" s="3">
        <f t="shared" si="42"/>
        <v>0</v>
      </c>
    </row>
    <row r="2595" spans="12:12" x14ac:dyDescent="0.35">
      <c r="L2595" s="3">
        <f t="shared" si="42"/>
        <v>0</v>
      </c>
    </row>
    <row r="2596" spans="12:12" x14ac:dyDescent="0.35">
      <c r="L2596" s="3">
        <f t="shared" si="42"/>
        <v>0</v>
      </c>
    </row>
    <row r="2597" spans="12:12" x14ac:dyDescent="0.35">
      <c r="L2597" s="3">
        <f t="shared" si="42"/>
        <v>0</v>
      </c>
    </row>
    <row r="2598" spans="12:12" x14ac:dyDescent="0.35">
      <c r="L2598" s="3">
        <f t="shared" si="42"/>
        <v>0</v>
      </c>
    </row>
    <row r="2599" spans="12:12" x14ac:dyDescent="0.35">
      <c r="L2599" s="3">
        <f t="shared" si="42"/>
        <v>0</v>
      </c>
    </row>
    <row r="2600" spans="12:12" x14ac:dyDescent="0.35">
      <c r="L2600" s="3">
        <f t="shared" si="42"/>
        <v>0</v>
      </c>
    </row>
    <row r="2601" spans="12:12" x14ac:dyDescent="0.35">
      <c r="L2601" s="3">
        <f t="shared" si="42"/>
        <v>0</v>
      </c>
    </row>
    <row r="2602" spans="12:12" x14ac:dyDescent="0.35">
      <c r="L2602" s="3">
        <f t="shared" si="42"/>
        <v>0</v>
      </c>
    </row>
    <row r="2603" spans="12:12" x14ac:dyDescent="0.35">
      <c r="L2603" s="3">
        <f t="shared" si="42"/>
        <v>0</v>
      </c>
    </row>
    <row r="2604" spans="12:12" x14ac:dyDescent="0.35">
      <c r="L2604" s="3">
        <f t="shared" si="42"/>
        <v>0</v>
      </c>
    </row>
    <row r="2605" spans="12:12" x14ac:dyDescent="0.35">
      <c r="L2605" s="3">
        <f t="shared" si="42"/>
        <v>0</v>
      </c>
    </row>
    <row r="2606" spans="12:12" x14ac:dyDescent="0.35">
      <c r="L2606" s="3">
        <f t="shared" si="42"/>
        <v>0</v>
      </c>
    </row>
    <row r="2607" spans="12:12" x14ac:dyDescent="0.35">
      <c r="L2607" s="3">
        <f t="shared" si="42"/>
        <v>0</v>
      </c>
    </row>
    <row r="2608" spans="12:12" x14ac:dyDescent="0.35">
      <c r="L2608" s="3">
        <f t="shared" si="42"/>
        <v>0</v>
      </c>
    </row>
    <row r="2609" spans="12:12" x14ac:dyDescent="0.35">
      <c r="L2609" s="3">
        <f t="shared" si="42"/>
        <v>0</v>
      </c>
    </row>
    <row r="2610" spans="12:12" x14ac:dyDescent="0.35">
      <c r="L2610" s="3">
        <f t="shared" si="42"/>
        <v>0</v>
      </c>
    </row>
    <row r="2611" spans="12:12" x14ac:dyDescent="0.35">
      <c r="L2611" s="3">
        <f t="shared" si="42"/>
        <v>0</v>
      </c>
    </row>
    <row r="2612" spans="12:12" x14ac:dyDescent="0.35">
      <c r="L2612" s="3">
        <f t="shared" si="42"/>
        <v>0</v>
      </c>
    </row>
    <row r="2613" spans="12:12" x14ac:dyDescent="0.35">
      <c r="L2613" s="3">
        <f t="shared" si="42"/>
        <v>0</v>
      </c>
    </row>
    <row r="2614" spans="12:12" x14ac:dyDescent="0.35">
      <c r="L2614" s="3">
        <f t="shared" si="42"/>
        <v>0</v>
      </c>
    </row>
    <row r="2615" spans="12:12" x14ac:dyDescent="0.35">
      <c r="L2615" s="3">
        <f t="shared" si="42"/>
        <v>0</v>
      </c>
    </row>
    <row r="2616" spans="12:12" x14ac:dyDescent="0.35">
      <c r="L2616" s="3">
        <f t="shared" si="42"/>
        <v>0</v>
      </c>
    </row>
    <row r="2617" spans="12:12" x14ac:dyDescent="0.35">
      <c r="L2617" s="3">
        <f t="shared" si="42"/>
        <v>0</v>
      </c>
    </row>
    <row r="2618" spans="12:12" x14ac:dyDescent="0.35">
      <c r="L2618" s="3">
        <f t="shared" si="42"/>
        <v>0</v>
      </c>
    </row>
    <row r="2619" spans="12:12" x14ac:dyDescent="0.35">
      <c r="L2619" s="3">
        <f t="shared" ref="L2619:L2682" si="43">K2619*C2619</f>
        <v>0</v>
      </c>
    </row>
    <row r="2620" spans="12:12" x14ac:dyDescent="0.35">
      <c r="L2620" s="3">
        <f t="shared" si="43"/>
        <v>0</v>
      </c>
    </row>
    <row r="2621" spans="12:12" x14ac:dyDescent="0.35">
      <c r="L2621" s="3">
        <f t="shared" si="43"/>
        <v>0</v>
      </c>
    </row>
    <row r="2622" spans="12:12" x14ac:dyDescent="0.35">
      <c r="L2622" s="3">
        <f t="shared" si="43"/>
        <v>0</v>
      </c>
    </row>
    <row r="2623" spans="12:12" x14ac:dyDescent="0.35">
      <c r="L2623" s="3">
        <f t="shared" si="43"/>
        <v>0</v>
      </c>
    </row>
    <row r="2624" spans="12:12" x14ac:dyDescent="0.35">
      <c r="L2624" s="3">
        <f t="shared" si="43"/>
        <v>0</v>
      </c>
    </row>
    <row r="2625" spans="12:12" x14ac:dyDescent="0.35">
      <c r="L2625" s="3">
        <f t="shared" si="43"/>
        <v>0</v>
      </c>
    </row>
    <row r="2626" spans="12:12" x14ac:dyDescent="0.35">
      <c r="L2626" s="3">
        <f t="shared" si="43"/>
        <v>0</v>
      </c>
    </row>
    <row r="2627" spans="12:12" x14ac:dyDescent="0.35">
      <c r="L2627" s="3">
        <f t="shared" si="43"/>
        <v>0</v>
      </c>
    </row>
    <row r="2628" spans="12:12" x14ac:dyDescent="0.35">
      <c r="L2628" s="3">
        <f t="shared" si="43"/>
        <v>0</v>
      </c>
    </row>
    <row r="2629" spans="12:12" x14ac:dyDescent="0.35">
      <c r="L2629" s="3">
        <f t="shared" si="43"/>
        <v>0</v>
      </c>
    </row>
    <row r="2630" spans="12:12" x14ac:dyDescent="0.35">
      <c r="L2630" s="3">
        <f t="shared" si="43"/>
        <v>0</v>
      </c>
    </row>
    <row r="2631" spans="12:12" x14ac:dyDescent="0.35">
      <c r="L2631" s="3">
        <f t="shared" si="43"/>
        <v>0</v>
      </c>
    </row>
    <row r="2632" spans="12:12" x14ac:dyDescent="0.35">
      <c r="L2632" s="3">
        <f t="shared" si="43"/>
        <v>0</v>
      </c>
    </row>
    <row r="2633" spans="12:12" x14ac:dyDescent="0.35">
      <c r="L2633" s="3">
        <f t="shared" si="43"/>
        <v>0</v>
      </c>
    </row>
    <row r="2634" spans="12:12" x14ac:dyDescent="0.35">
      <c r="L2634" s="3">
        <f t="shared" si="43"/>
        <v>0</v>
      </c>
    </row>
    <row r="2635" spans="12:12" x14ac:dyDescent="0.35">
      <c r="L2635" s="3">
        <f t="shared" si="43"/>
        <v>0</v>
      </c>
    </row>
    <row r="2636" spans="12:12" x14ac:dyDescent="0.35">
      <c r="L2636" s="3">
        <f t="shared" si="43"/>
        <v>0</v>
      </c>
    </row>
    <row r="2637" spans="12:12" x14ac:dyDescent="0.35">
      <c r="L2637" s="3">
        <f t="shared" si="43"/>
        <v>0</v>
      </c>
    </row>
    <row r="2638" spans="12:12" x14ac:dyDescent="0.35">
      <c r="L2638" s="3">
        <f t="shared" si="43"/>
        <v>0</v>
      </c>
    </row>
    <row r="2639" spans="12:12" x14ac:dyDescent="0.35">
      <c r="L2639" s="3">
        <f t="shared" si="43"/>
        <v>0</v>
      </c>
    </row>
    <row r="2640" spans="12:12" x14ac:dyDescent="0.35">
      <c r="L2640" s="3">
        <f t="shared" si="43"/>
        <v>0</v>
      </c>
    </row>
    <row r="2641" spans="12:12" x14ac:dyDescent="0.35">
      <c r="L2641" s="3">
        <f t="shared" si="43"/>
        <v>0</v>
      </c>
    </row>
    <row r="2642" spans="12:12" x14ac:dyDescent="0.35">
      <c r="L2642" s="3">
        <f t="shared" si="43"/>
        <v>0</v>
      </c>
    </row>
    <row r="2643" spans="12:12" x14ac:dyDescent="0.35">
      <c r="L2643" s="3">
        <f t="shared" si="43"/>
        <v>0</v>
      </c>
    </row>
    <row r="2644" spans="12:12" x14ac:dyDescent="0.35">
      <c r="L2644" s="3">
        <f t="shared" si="43"/>
        <v>0</v>
      </c>
    </row>
    <row r="2645" spans="12:12" x14ac:dyDescent="0.35">
      <c r="L2645" s="3">
        <f t="shared" si="43"/>
        <v>0</v>
      </c>
    </row>
    <row r="2646" spans="12:12" x14ac:dyDescent="0.35">
      <c r="L2646" s="3">
        <f t="shared" si="43"/>
        <v>0</v>
      </c>
    </row>
    <row r="2647" spans="12:12" x14ac:dyDescent="0.35">
      <c r="L2647" s="3">
        <f t="shared" si="43"/>
        <v>0</v>
      </c>
    </row>
    <row r="2648" spans="12:12" x14ac:dyDescent="0.35">
      <c r="L2648" s="3">
        <f t="shared" si="43"/>
        <v>0</v>
      </c>
    </row>
    <row r="2649" spans="12:12" x14ac:dyDescent="0.35">
      <c r="L2649" s="3">
        <f t="shared" si="43"/>
        <v>0</v>
      </c>
    </row>
    <row r="2650" spans="12:12" x14ac:dyDescent="0.35">
      <c r="L2650" s="3">
        <f t="shared" si="43"/>
        <v>0</v>
      </c>
    </row>
    <row r="2651" spans="12:12" x14ac:dyDescent="0.35">
      <c r="L2651" s="3">
        <f t="shared" si="43"/>
        <v>0</v>
      </c>
    </row>
    <row r="2652" spans="12:12" x14ac:dyDescent="0.35">
      <c r="L2652" s="3">
        <f t="shared" si="43"/>
        <v>0</v>
      </c>
    </row>
    <row r="2653" spans="12:12" x14ac:dyDescent="0.35">
      <c r="L2653" s="3">
        <f t="shared" si="43"/>
        <v>0</v>
      </c>
    </row>
    <row r="2654" spans="12:12" x14ac:dyDescent="0.35">
      <c r="L2654" s="3">
        <f t="shared" si="43"/>
        <v>0</v>
      </c>
    </row>
    <row r="2655" spans="12:12" x14ac:dyDescent="0.35">
      <c r="L2655" s="3">
        <f t="shared" si="43"/>
        <v>0</v>
      </c>
    </row>
    <row r="2656" spans="12:12" x14ac:dyDescent="0.35">
      <c r="L2656" s="3">
        <f t="shared" si="43"/>
        <v>0</v>
      </c>
    </row>
    <row r="2657" spans="12:12" x14ac:dyDescent="0.35">
      <c r="L2657" s="3">
        <f t="shared" si="43"/>
        <v>0</v>
      </c>
    </row>
    <row r="2658" spans="12:12" x14ac:dyDescent="0.35">
      <c r="L2658" s="3">
        <f t="shared" si="43"/>
        <v>0</v>
      </c>
    </row>
    <row r="2659" spans="12:12" x14ac:dyDescent="0.35">
      <c r="L2659" s="3">
        <f t="shared" si="43"/>
        <v>0</v>
      </c>
    </row>
    <row r="2660" spans="12:12" x14ac:dyDescent="0.35">
      <c r="L2660" s="3">
        <f t="shared" si="43"/>
        <v>0</v>
      </c>
    </row>
    <row r="2661" spans="12:12" x14ac:dyDescent="0.35">
      <c r="L2661" s="3">
        <f t="shared" si="43"/>
        <v>0</v>
      </c>
    </row>
    <row r="2662" spans="12:12" x14ac:dyDescent="0.35">
      <c r="L2662" s="3">
        <f t="shared" si="43"/>
        <v>0</v>
      </c>
    </row>
    <row r="2663" spans="12:12" x14ac:dyDescent="0.35">
      <c r="L2663" s="3">
        <f t="shared" si="43"/>
        <v>0</v>
      </c>
    </row>
    <row r="2664" spans="12:12" x14ac:dyDescent="0.35">
      <c r="L2664" s="3">
        <f t="shared" si="43"/>
        <v>0</v>
      </c>
    </row>
    <row r="2665" spans="12:12" x14ac:dyDescent="0.35">
      <c r="L2665" s="3">
        <f t="shared" si="43"/>
        <v>0</v>
      </c>
    </row>
    <row r="2666" spans="12:12" x14ac:dyDescent="0.35">
      <c r="L2666" s="3">
        <f t="shared" si="43"/>
        <v>0</v>
      </c>
    </row>
    <row r="2667" spans="12:12" x14ac:dyDescent="0.35">
      <c r="L2667" s="3">
        <f t="shared" si="43"/>
        <v>0</v>
      </c>
    </row>
    <row r="2668" spans="12:12" x14ac:dyDescent="0.35">
      <c r="L2668" s="3">
        <f t="shared" si="43"/>
        <v>0</v>
      </c>
    </row>
    <row r="2669" spans="12:12" x14ac:dyDescent="0.35">
      <c r="L2669" s="3">
        <f t="shared" si="43"/>
        <v>0</v>
      </c>
    </row>
    <row r="2670" spans="12:12" x14ac:dyDescent="0.35">
      <c r="L2670" s="3">
        <f t="shared" si="43"/>
        <v>0</v>
      </c>
    </row>
    <row r="2671" spans="12:12" x14ac:dyDescent="0.35">
      <c r="L2671" s="3">
        <f t="shared" si="43"/>
        <v>0</v>
      </c>
    </row>
    <row r="2672" spans="12:12" x14ac:dyDescent="0.35">
      <c r="L2672" s="3">
        <f t="shared" si="43"/>
        <v>0</v>
      </c>
    </row>
    <row r="2673" spans="12:12" x14ac:dyDescent="0.35">
      <c r="L2673" s="3">
        <f t="shared" si="43"/>
        <v>0</v>
      </c>
    </row>
    <row r="2674" spans="12:12" x14ac:dyDescent="0.35">
      <c r="L2674" s="3">
        <f t="shared" si="43"/>
        <v>0</v>
      </c>
    </row>
    <row r="2675" spans="12:12" x14ac:dyDescent="0.35">
      <c r="L2675" s="3">
        <f t="shared" si="43"/>
        <v>0</v>
      </c>
    </row>
    <row r="2676" spans="12:12" x14ac:dyDescent="0.35">
      <c r="L2676" s="3">
        <f t="shared" si="43"/>
        <v>0</v>
      </c>
    </row>
    <row r="2677" spans="12:12" x14ac:dyDescent="0.35">
      <c r="L2677" s="3">
        <f t="shared" si="43"/>
        <v>0</v>
      </c>
    </row>
    <row r="2678" spans="12:12" x14ac:dyDescent="0.35">
      <c r="L2678" s="3">
        <f t="shared" si="43"/>
        <v>0</v>
      </c>
    </row>
    <row r="2679" spans="12:12" x14ac:dyDescent="0.35">
      <c r="L2679" s="3">
        <f t="shared" si="43"/>
        <v>0</v>
      </c>
    </row>
    <row r="2680" spans="12:12" x14ac:dyDescent="0.35">
      <c r="L2680" s="3">
        <f t="shared" si="43"/>
        <v>0</v>
      </c>
    </row>
    <row r="2681" spans="12:12" x14ac:dyDescent="0.35">
      <c r="L2681" s="3">
        <f t="shared" si="43"/>
        <v>0</v>
      </c>
    </row>
    <row r="2682" spans="12:12" x14ac:dyDescent="0.35">
      <c r="L2682" s="3">
        <f t="shared" si="43"/>
        <v>0</v>
      </c>
    </row>
    <row r="2683" spans="12:12" x14ac:dyDescent="0.35">
      <c r="L2683" s="3">
        <f t="shared" ref="L2683:L2746" si="44">K2683*C2683</f>
        <v>0</v>
      </c>
    </row>
    <row r="2684" spans="12:12" x14ac:dyDescent="0.35">
      <c r="L2684" s="3">
        <f t="shared" si="44"/>
        <v>0</v>
      </c>
    </row>
    <row r="2685" spans="12:12" x14ac:dyDescent="0.35">
      <c r="L2685" s="3">
        <f t="shared" si="44"/>
        <v>0</v>
      </c>
    </row>
    <row r="2686" spans="12:12" x14ac:dyDescent="0.35">
      <c r="L2686" s="3">
        <f t="shared" si="44"/>
        <v>0</v>
      </c>
    </row>
    <row r="2687" spans="12:12" x14ac:dyDescent="0.35">
      <c r="L2687" s="3">
        <f t="shared" si="44"/>
        <v>0</v>
      </c>
    </row>
    <row r="2688" spans="12:12" x14ac:dyDescent="0.35">
      <c r="L2688" s="3">
        <f t="shared" si="44"/>
        <v>0</v>
      </c>
    </row>
    <row r="2689" spans="12:12" x14ac:dyDescent="0.35">
      <c r="L2689" s="3">
        <f t="shared" si="44"/>
        <v>0</v>
      </c>
    </row>
    <row r="2690" spans="12:12" x14ac:dyDescent="0.35">
      <c r="L2690" s="3">
        <f t="shared" si="44"/>
        <v>0</v>
      </c>
    </row>
    <row r="2691" spans="12:12" x14ac:dyDescent="0.35">
      <c r="L2691" s="3">
        <f t="shared" si="44"/>
        <v>0</v>
      </c>
    </row>
    <row r="2692" spans="12:12" x14ac:dyDescent="0.35">
      <c r="L2692" s="3">
        <f t="shared" si="44"/>
        <v>0</v>
      </c>
    </row>
    <row r="2693" spans="12:12" x14ac:dyDescent="0.35">
      <c r="L2693" s="3">
        <f t="shared" si="44"/>
        <v>0</v>
      </c>
    </row>
    <row r="2694" spans="12:12" x14ac:dyDescent="0.35">
      <c r="L2694" s="3">
        <f t="shared" si="44"/>
        <v>0</v>
      </c>
    </row>
    <row r="2695" spans="12:12" x14ac:dyDescent="0.35">
      <c r="L2695" s="3">
        <f t="shared" si="44"/>
        <v>0</v>
      </c>
    </row>
    <row r="2696" spans="12:12" x14ac:dyDescent="0.35">
      <c r="L2696" s="3">
        <f t="shared" si="44"/>
        <v>0</v>
      </c>
    </row>
    <row r="2697" spans="12:12" x14ac:dyDescent="0.35">
      <c r="L2697" s="3">
        <f t="shared" si="44"/>
        <v>0</v>
      </c>
    </row>
    <row r="2698" spans="12:12" x14ac:dyDescent="0.35">
      <c r="L2698" s="3">
        <f t="shared" si="44"/>
        <v>0</v>
      </c>
    </row>
    <row r="2699" spans="12:12" x14ac:dyDescent="0.35">
      <c r="L2699" s="3">
        <f t="shared" si="44"/>
        <v>0</v>
      </c>
    </row>
    <row r="2700" spans="12:12" x14ac:dyDescent="0.35">
      <c r="L2700" s="3">
        <f t="shared" si="44"/>
        <v>0</v>
      </c>
    </row>
    <row r="2701" spans="12:12" x14ac:dyDescent="0.35">
      <c r="L2701" s="3">
        <f t="shared" si="44"/>
        <v>0</v>
      </c>
    </row>
    <row r="2702" spans="12:12" x14ac:dyDescent="0.35">
      <c r="L2702" s="3">
        <f t="shared" si="44"/>
        <v>0</v>
      </c>
    </row>
    <row r="2703" spans="12:12" x14ac:dyDescent="0.35">
      <c r="L2703" s="3">
        <f t="shared" si="44"/>
        <v>0</v>
      </c>
    </row>
    <row r="2704" spans="12:12" x14ac:dyDescent="0.35">
      <c r="L2704" s="3">
        <f t="shared" si="44"/>
        <v>0</v>
      </c>
    </row>
    <row r="2705" spans="12:12" x14ac:dyDescent="0.35">
      <c r="L2705" s="3">
        <f t="shared" si="44"/>
        <v>0</v>
      </c>
    </row>
    <row r="2706" spans="12:12" x14ac:dyDescent="0.35">
      <c r="L2706" s="3">
        <f t="shared" si="44"/>
        <v>0</v>
      </c>
    </row>
    <row r="2707" spans="12:12" x14ac:dyDescent="0.35">
      <c r="L2707" s="3">
        <f t="shared" si="44"/>
        <v>0</v>
      </c>
    </row>
    <row r="2708" spans="12:12" x14ac:dyDescent="0.35">
      <c r="L2708" s="3">
        <f t="shared" si="44"/>
        <v>0</v>
      </c>
    </row>
    <row r="2709" spans="12:12" x14ac:dyDescent="0.35">
      <c r="L2709" s="3">
        <f t="shared" si="44"/>
        <v>0</v>
      </c>
    </row>
    <row r="2710" spans="12:12" x14ac:dyDescent="0.35">
      <c r="L2710" s="3">
        <f t="shared" si="44"/>
        <v>0</v>
      </c>
    </row>
    <row r="2711" spans="12:12" x14ac:dyDescent="0.35">
      <c r="L2711" s="3">
        <f t="shared" si="44"/>
        <v>0</v>
      </c>
    </row>
    <row r="2712" spans="12:12" x14ac:dyDescent="0.35">
      <c r="L2712" s="3">
        <f t="shared" si="44"/>
        <v>0</v>
      </c>
    </row>
    <row r="2713" spans="12:12" x14ac:dyDescent="0.35">
      <c r="L2713" s="3">
        <f t="shared" si="44"/>
        <v>0</v>
      </c>
    </row>
    <row r="2714" spans="12:12" x14ac:dyDescent="0.35">
      <c r="L2714" s="3">
        <f t="shared" si="44"/>
        <v>0</v>
      </c>
    </row>
    <row r="2715" spans="12:12" x14ac:dyDescent="0.35">
      <c r="L2715" s="3">
        <f t="shared" si="44"/>
        <v>0</v>
      </c>
    </row>
    <row r="2716" spans="12:12" x14ac:dyDescent="0.35">
      <c r="L2716" s="3">
        <f t="shared" si="44"/>
        <v>0</v>
      </c>
    </row>
    <row r="2717" spans="12:12" x14ac:dyDescent="0.35">
      <c r="L2717" s="3">
        <f t="shared" si="44"/>
        <v>0</v>
      </c>
    </row>
    <row r="2718" spans="12:12" x14ac:dyDescent="0.35">
      <c r="L2718" s="3">
        <f t="shared" si="44"/>
        <v>0</v>
      </c>
    </row>
    <row r="2719" spans="12:12" x14ac:dyDescent="0.35">
      <c r="L2719" s="3">
        <f t="shared" si="44"/>
        <v>0</v>
      </c>
    </row>
    <row r="2720" spans="12:12" x14ac:dyDescent="0.35">
      <c r="L2720" s="3">
        <f t="shared" si="44"/>
        <v>0</v>
      </c>
    </row>
    <row r="2721" spans="12:12" x14ac:dyDescent="0.35">
      <c r="L2721" s="3">
        <f t="shared" si="44"/>
        <v>0</v>
      </c>
    </row>
    <row r="2722" spans="12:12" x14ac:dyDescent="0.35">
      <c r="L2722" s="3">
        <f t="shared" si="44"/>
        <v>0</v>
      </c>
    </row>
    <row r="2723" spans="12:12" x14ac:dyDescent="0.35">
      <c r="L2723" s="3">
        <f t="shared" si="44"/>
        <v>0</v>
      </c>
    </row>
    <row r="2724" spans="12:12" x14ac:dyDescent="0.35">
      <c r="L2724" s="3">
        <f t="shared" si="44"/>
        <v>0</v>
      </c>
    </row>
    <row r="2725" spans="12:12" x14ac:dyDescent="0.35">
      <c r="L2725" s="3">
        <f t="shared" si="44"/>
        <v>0</v>
      </c>
    </row>
    <row r="2726" spans="12:12" x14ac:dyDescent="0.35">
      <c r="L2726" s="3">
        <f t="shared" si="44"/>
        <v>0</v>
      </c>
    </row>
    <row r="2727" spans="12:12" x14ac:dyDescent="0.35">
      <c r="L2727" s="3">
        <f t="shared" si="44"/>
        <v>0</v>
      </c>
    </row>
    <row r="2728" spans="12:12" x14ac:dyDescent="0.35">
      <c r="L2728" s="3">
        <f t="shared" si="44"/>
        <v>0</v>
      </c>
    </row>
    <row r="2729" spans="12:12" x14ac:dyDescent="0.35">
      <c r="L2729" s="3">
        <f t="shared" si="44"/>
        <v>0</v>
      </c>
    </row>
    <row r="2730" spans="12:12" x14ac:dyDescent="0.35">
      <c r="L2730" s="3">
        <f t="shared" si="44"/>
        <v>0</v>
      </c>
    </row>
    <row r="2731" spans="12:12" x14ac:dyDescent="0.35">
      <c r="L2731" s="3">
        <f t="shared" si="44"/>
        <v>0</v>
      </c>
    </row>
    <row r="2732" spans="12:12" x14ac:dyDescent="0.35">
      <c r="L2732" s="3">
        <f t="shared" si="44"/>
        <v>0</v>
      </c>
    </row>
    <row r="2733" spans="12:12" x14ac:dyDescent="0.35">
      <c r="L2733" s="3">
        <f t="shared" si="44"/>
        <v>0</v>
      </c>
    </row>
    <row r="2734" spans="12:12" x14ac:dyDescent="0.35">
      <c r="L2734" s="3">
        <f t="shared" si="44"/>
        <v>0</v>
      </c>
    </row>
    <row r="2735" spans="12:12" x14ac:dyDescent="0.35">
      <c r="L2735" s="3">
        <f t="shared" si="44"/>
        <v>0</v>
      </c>
    </row>
    <row r="2736" spans="12:12" x14ac:dyDescent="0.35">
      <c r="L2736" s="3">
        <f t="shared" si="44"/>
        <v>0</v>
      </c>
    </row>
    <row r="2737" spans="12:12" x14ac:dyDescent="0.35">
      <c r="L2737" s="3">
        <f t="shared" si="44"/>
        <v>0</v>
      </c>
    </row>
    <row r="2738" spans="12:12" x14ac:dyDescent="0.35">
      <c r="L2738" s="3">
        <f t="shared" si="44"/>
        <v>0</v>
      </c>
    </row>
    <row r="2739" spans="12:12" x14ac:dyDescent="0.35">
      <c r="L2739" s="3">
        <f t="shared" si="44"/>
        <v>0</v>
      </c>
    </row>
    <row r="2740" spans="12:12" x14ac:dyDescent="0.35">
      <c r="L2740" s="3">
        <f t="shared" si="44"/>
        <v>0</v>
      </c>
    </row>
    <row r="2741" spans="12:12" x14ac:dyDescent="0.35">
      <c r="L2741" s="3">
        <f t="shared" si="44"/>
        <v>0</v>
      </c>
    </row>
    <row r="2742" spans="12:12" x14ac:dyDescent="0.35">
      <c r="L2742" s="3">
        <f t="shared" si="44"/>
        <v>0</v>
      </c>
    </row>
    <row r="2743" spans="12:12" x14ac:dyDescent="0.35">
      <c r="L2743" s="3">
        <f t="shared" si="44"/>
        <v>0</v>
      </c>
    </row>
    <row r="2744" spans="12:12" x14ac:dyDescent="0.35">
      <c r="L2744" s="3">
        <f t="shared" si="44"/>
        <v>0</v>
      </c>
    </row>
    <row r="2745" spans="12:12" x14ac:dyDescent="0.35">
      <c r="L2745" s="3">
        <f t="shared" si="44"/>
        <v>0</v>
      </c>
    </row>
    <row r="2746" spans="12:12" x14ac:dyDescent="0.35">
      <c r="L2746" s="3">
        <f t="shared" si="44"/>
        <v>0</v>
      </c>
    </row>
    <row r="2747" spans="12:12" x14ac:dyDescent="0.35">
      <c r="L2747" s="3">
        <f t="shared" ref="L2747:L2810" si="45">K2747*C2747</f>
        <v>0</v>
      </c>
    </row>
    <row r="2748" spans="12:12" x14ac:dyDescent="0.35">
      <c r="L2748" s="3">
        <f t="shared" si="45"/>
        <v>0</v>
      </c>
    </row>
    <row r="2749" spans="12:12" x14ac:dyDescent="0.35">
      <c r="L2749" s="3">
        <f t="shared" si="45"/>
        <v>0</v>
      </c>
    </row>
    <row r="2750" spans="12:12" x14ac:dyDescent="0.35">
      <c r="L2750" s="3">
        <f t="shared" si="45"/>
        <v>0</v>
      </c>
    </row>
    <row r="2751" spans="12:12" x14ac:dyDescent="0.35">
      <c r="L2751" s="3">
        <f t="shared" si="45"/>
        <v>0</v>
      </c>
    </row>
    <row r="2752" spans="12:12" x14ac:dyDescent="0.35">
      <c r="L2752" s="3">
        <f t="shared" si="45"/>
        <v>0</v>
      </c>
    </row>
    <row r="2753" spans="12:12" x14ac:dyDescent="0.35">
      <c r="L2753" s="3">
        <f t="shared" si="45"/>
        <v>0</v>
      </c>
    </row>
    <row r="2754" spans="12:12" x14ac:dyDescent="0.35">
      <c r="L2754" s="3">
        <f t="shared" si="45"/>
        <v>0</v>
      </c>
    </row>
    <row r="2755" spans="12:12" x14ac:dyDescent="0.35">
      <c r="L2755" s="3">
        <f t="shared" si="45"/>
        <v>0</v>
      </c>
    </row>
    <row r="2756" spans="12:12" x14ac:dyDescent="0.35">
      <c r="L2756" s="3">
        <f t="shared" si="45"/>
        <v>0</v>
      </c>
    </row>
    <row r="2757" spans="12:12" x14ac:dyDescent="0.35">
      <c r="L2757" s="3">
        <f t="shared" si="45"/>
        <v>0</v>
      </c>
    </row>
    <row r="2758" spans="12:12" x14ac:dyDescent="0.35">
      <c r="L2758" s="3">
        <f t="shared" si="45"/>
        <v>0</v>
      </c>
    </row>
    <row r="2759" spans="12:12" x14ac:dyDescent="0.35">
      <c r="L2759" s="3">
        <f t="shared" si="45"/>
        <v>0</v>
      </c>
    </row>
    <row r="2760" spans="12:12" x14ac:dyDescent="0.35">
      <c r="L2760" s="3">
        <f t="shared" si="45"/>
        <v>0</v>
      </c>
    </row>
    <row r="2761" spans="12:12" x14ac:dyDescent="0.35">
      <c r="L2761" s="3">
        <f t="shared" si="45"/>
        <v>0</v>
      </c>
    </row>
    <row r="2762" spans="12:12" x14ac:dyDescent="0.35">
      <c r="L2762" s="3">
        <f t="shared" si="45"/>
        <v>0</v>
      </c>
    </row>
    <row r="2763" spans="12:12" x14ac:dyDescent="0.35">
      <c r="L2763" s="3">
        <f t="shared" si="45"/>
        <v>0</v>
      </c>
    </row>
    <row r="2764" spans="12:12" x14ac:dyDescent="0.35">
      <c r="L2764" s="3">
        <f t="shared" si="45"/>
        <v>0</v>
      </c>
    </row>
    <row r="2765" spans="12:12" x14ac:dyDescent="0.35">
      <c r="L2765" s="3">
        <f t="shared" si="45"/>
        <v>0</v>
      </c>
    </row>
    <row r="2766" spans="12:12" x14ac:dyDescent="0.35">
      <c r="L2766" s="3">
        <f t="shared" si="45"/>
        <v>0</v>
      </c>
    </row>
    <row r="2767" spans="12:12" x14ac:dyDescent="0.35">
      <c r="L2767" s="3">
        <f t="shared" si="45"/>
        <v>0</v>
      </c>
    </row>
    <row r="2768" spans="12:12" x14ac:dyDescent="0.35">
      <c r="L2768" s="3">
        <f t="shared" si="45"/>
        <v>0</v>
      </c>
    </row>
    <row r="2769" spans="12:12" x14ac:dyDescent="0.35">
      <c r="L2769" s="3">
        <f t="shared" si="45"/>
        <v>0</v>
      </c>
    </row>
    <row r="2770" spans="12:12" x14ac:dyDescent="0.35">
      <c r="L2770" s="3">
        <f t="shared" si="45"/>
        <v>0</v>
      </c>
    </row>
    <row r="2771" spans="12:12" x14ac:dyDescent="0.35">
      <c r="L2771" s="3">
        <f t="shared" si="45"/>
        <v>0</v>
      </c>
    </row>
    <row r="2772" spans="12:12" x14ac:dyDescent="0.35">
      <c r="L2772" s="3">
        <f t="shared" si="45"/>
        <v>0</v>
      </c>
    </row>
    <row r="2773" spans="12:12" x14ac:dyDescent="0.35">
      <c r="L2773" s="3">
        <f t="shared" si="45"/>
        <v>0</v>
      </c>
    </row>
    <row r="2774" spans="12:12" x14ac:dyDescent="0.35">
      <c r="L2774" s="3">
        <f t="shared" si="45"/>
        <v>0</v>
      </c>
    </row>
    <row r="2775" spans="12:12" x14ac:dyDescent="0.35">
      <c r="L2775" s="3">
        <f t="shared" si="45"/>
        <v>0</v>
      </c>
    </row>
    <row r="2776" spans="12:12" x14ac:dyDescent="0.35">
      <c r="L2776" s="3">
        <f t="shared" si="45"/>
        <v>0</v>
      </c>
    </row>
    <row r="2777" spans="12:12" x14ac:dyDescent="0.35">
      <c r="L2777" s="3">
        <f t="shared" si="45"/>
        <v>0</v>
      </c>
    </row>
    <row r="2778" spans="12:12" x14ac:dyDescent="0.35">
      <c r="L2778" s="3">
        <f t="shared" si="45"/>
        <v>0</v>
      </c>
    </row>
    <row r="2779" spans="12:12" x14ac:dyDescent="0.35">
      <c r="L2779" s="3">
        <f t="shared" si="45"/>
        <v>0</v>
      </c>
    </row>
    <row r="2780" spans="12:12" x14ac:dyDescent="0.35">
      <c r="L2780" s="3">
        <f t="shared" si="45"/>
        <v>0</v>
      </c>
    </row>
    <row r="2781" spans="12:12" x14ac:dyDescent="0.35">
      <c r="L2781" s="3">
        <f t="shared" si="45"/>
        <v>0</v>
      </c>
    </row>
    <row r="2782" spans="12:12" x14ac:dyDescent="0.35">
      <c r="L2782" s="3">
        <f t="shared" si="45"/>
        <v>0</v>
      </c>
    </row>
    <row r="2783" spans="12:12" x14ac:dyDescent="0.35">
      <c r="L2783" s="3">
        <f t="shared" si="45"/>
        <v>0</v>
      </c>
    </row>
    <row r="2784" spans="12:12" x14ac:dyDescent="0.35">
      <c r="L2784" s="3">
        <f t="shared" si="45"/>
        <v>0</v>
      </c>
    </row>
    <row r="2785" spans="12:12" x14ac:dyDescent="0.35">
      <c r="L2785" s="3">
        <f t="shared" si="45"/>
        <v>0</v>
      </c>
    </row>
    <row r="2786" spans="12:12" x14ac:dyDescent="0.35">
      <c r="L2786" s="3">
        <f t="shared" si="45"/>
        <v>0</v>
      </c>
    </row>
    <row r="2787" spans="12:12" x14ac:dyDescent="0.35">
      <c r="L2787" s="3">
        <f t="shared" si="45"/>
        <v>0</v>
      </c>
    </row>
    <row r="2788" spans="12:12" x14ac:dyDescent="0.35">
      <c r="L2788" s="3">
        <f t="shared" si="45"/>
        <v>0</v>
      </c>
    </row>
    <row r="2789" spans="12:12" x14ac:dyDescent="0.35">
      <c r="L2789" s="3">
        <f t="shared" si="45"/>
        <v>0</v>
      </c>
    </row>
    <row r="2790" spans="12:12" x14ac:dyDescent="0.35">
      <c r="L2790" s="3">
        <f t="shared" si="45"/>
        <v>0</v>
      </c>
    </row>
    <row r="2791" spans="12:12" x14ac:dyDescent="0.35">
      <c r="L2791" s="3">
        <f t="shared" si="45"/>
        <v>0</v>
      </c>
    </row>
    <row r="2792" spans="12:12" x14ac:dyDescent="0.35">
      <c r="L2792" s="3">
        <f t="shared" si="45"/>
        <v>0</v>
      </c>
    </row>
    <row r="2793" spans="12:12" x14ac:dyDescent="0.35">
      <c r="L2793" s="3">
        <f t="shared" si="45"/>
        <v>0</v>
      </c>
    </row>
    <row r="2794" spans="12:12" x14ac:dyDescent="0.35">
      <c r="L2794" s="3">
        <f t="shared" si="45"/>
        <v>0</v>
      </c>
    </row>
    <row r="2795" spans="12:12" x14ac:dyDescent="0.35">
      <c r="L2795" s="3">
        <f t="shared" si="45"/>
        <v>0</v>
      </c>
    </row>
    <row r="2796" spans="12:12" x14ac:dyDescent="0.35">
      <c r="L2796" s="3">
        <f t="shared" si="45"/>
        <v>0</v>
      </c>
    </row>
    <row r="2797" spans="12:12" x14ac:dyDescent="0.35">
      <c r="L2797" s="3">
        <f t="shared" si="45"/>
        <v>0</v>
      </c>
    </row>
    <row r="2798" spans="12:12" x14ac:dyDescent="0.35">
      <c r="L2798" s="3">
        <f t="shared" si="45"/>
        <v>0</v>
      </c>
    </row>
    <row r="2799" spans="12:12" x14ac:dyDescent="0.35">
      <c r="L2799" s="3">
        <f t="shared" si="45"/>
        <v>0</v>
      </c>
    </row>
    <row r="2800" spans="12:12" x14ac:dyDescent="0.35">
      <c r="L2800" s="3">
        <f t="shared" si="45"/>
        <v>0</v>
      </c>
    </row>
    <row r="2801" spans="12:12" x14ac:dyDescent="0.35">
      <c r="L2801" s="3">
        <f t="shared" si="45"/>
        <v>0</v>
      </c>
    </row>
    <row r="2802" spans="12:12" x14ac:dyDescent="0.35">
      <c r="L2802" s="3">
        <f t="shared" si="45"/>
        <v>0</v>
      </c>
    </row>
    <row r="2803" spans="12:12" x14ac:dyDescent="0.35">
      <c r="L2803" s="3">
        <f t="shared" si="45"/>
        <v>0</v>
      </c>
    </row>
    <row r="2804" spans="12:12" x14ac:dyDescent="0.35">
      <c r="L2804" s="3">
        <f t="shared" si="45"/>
        <v>0</v>
      </c>
    </row>
    <row r="2805" spans="12:12" x14ac:dyDescent="0.35">
      <c r="L2805" s="3">
        <f t="shared" si="45"/>
        <v>0</v>
      </c>
    </row>
    <row r="2806" spans="12:12" x14ac:dyDescent="0.35">
      <c r="L2806" s="3">
        <f t="shared" si="45"/>
        <v>0</v>
      </c>
    </row>
    <row r="2807" spans="12:12" x14ac:dyDescent="0.35">
      <c r="L2807" s="3">
        <f t="shared" si="45"/>
        <v>0</v>
      </c>
    </row>
    <row r="2808" spans="12:12" x14ac:dyDescent="0.35">
      <c r="L2808" s="3">
        <f t="shared" si="45"/>
        <v>0</v>
      </c>
    </row>
    <row r="2809" spans="12:12" x14ac:dyDescent="0.35">
      <c r="L2809" s="3">
        <f t="shared" si="45"/>
        <v>0</v>
      </c>
    </row>
    <row r="2810" spans="12:12" x14ac:dyDescent="0.35">
      <c r="L2810" s="3">
        <f t="shared" si="45"/>
        <v>0</v>
      </c>
    </row>
    <row r="2811" spans="12:12" x14ac:dyDescent="0.35">
      <c r="L2811" s="3">
        <f t="shared" ref="L2811:L2874" si="46">K2811*C2811</f>
        <v>0</v>
      </c>
    </row>
    <row r="2812" spans="12:12" x14ac:dyDescent="0.35">
      <c r="L2812" s="3">
        <f t="shared" si="46"/>
        <v>0</v>
      </c>
    </row>
    <row r="2813" spans="12:12" x14ac:dyDescent="0.35">
      <c r="L2813" s="3">
        <f t="shared" si="46"/>
        <v>0</v>
      </c>
    </row>
    <row r="2814" spans="12:12" x14ac:dyDescent="0.35">
      <c r="L2814" s="3">
        <f t="shared" si="46"/>
        <v>0</v>
      </c>
    </row>
    <row r="2815" spans="12:12" x14ac:dyDescent="0.35">
      <c r="L2815" s="3">
        <f t="shared" si="46"/>
        <v>0</v>
      </c>
    </row>
    <row r="2816" spans="12:12" x14ac:dyDescent="0.35">
      <c r="L2816" s="3">
        <f t="shared" si="46"/>
        <v>0</v>
      </c>
    </row>
    <row r="2817" spans="12:12" x14ac:dyDescent="0.35">
      <c r="L2817" s="3">
        <f t="shared" si="46"/>
        <v>0</v>
      </c>
    </row>
    <row r="2818" spans="12:12" x14ac:dyDescent="0.35">
      <c r="L2818" s="3">
        <f t="shared" si="46"/>
        <v>0</v>
      </c>
    </row>
    <row r="2819" spans="12:12" x14ac:dyDescent="0.35">
      <c r="L2819" s="3">
        <f t="shared" si="46"/>
        <v>0</v>
      </c>
    </row>
    <row r="2820" spans="12:12" x14ac:dyDescent="0.35">
      <c r="L2820" s="3">
        <f t="shared" si="46"/>
        <v>0</v>
      </c>
    </row>
    <row r="2821" spans="12:12" x14ac:dyDescent="0.35">
      <c r="L2821" s="3">
        <f t="shared" si="46"/>
        <v>0</v>
      </c>
    </row>
    <row r="2822" spans="12:12" x14ac:dyDescent="0.35">
      <c r="L2822" s="3">
        <f t="shared" si="46"/>
        <v>0</v>
      </c>
    </row>
    <row r="2823" spans="12:12" x14ac:dyDescent="0.35">
      <c r="L2823" s="3">
        <f t="shared" si="46"/>
        <v>0</v>
      </c>
    </row>
    <row r="2824" spans="12:12" x14ac:dyDescent="0.35">
      <c r="L2824" s="3">
        <f t="shared" si="46"/>
        <v>0</v>
      </c>
    </row>
    <row r="2825" spans="12:12" x14ac:dyDescent="0.35">
      <c r="L2825" s="3">
        <f t="shared" si="46"/>
        <v>0</v>
      </c>
    </row>
    <row r="2826" spans="12:12" x14ac:dyDescent="0.35">
      <c r="L2826" s="3">
        <f t="shared" si="46"/>
        <v>0</v>
      </c>
    </row>
    <row r="2827" spans="12:12" x14ac:dyDescent="0.35">
      <c r="L2827" s="3">
        <f t="shared" si="46"/>
        <v>0</v>
      </c>
    </row>
    <row r="2828" spans="12:12" x14ac:dyDescent="0.35">
      <c r="L2828" s="3">
        <f t="shared" si="46"/>
        <v>0</v>
      </c>
    </row>
    <row r="2829" spans="12:12" x14ac:dyDescent="0.35">
      <c r="L2829" s="3">
        <f t="shared" si="46"/>
        <v>0</v>
      </c>
    </row>
    <row r="2830" spans="12:12" x14ac:dyDescent="0.35">
      <c r="L2830" s="3">
        <f t="shared" si="46"/>
        <v>0</v>
      </c>
    </row>
    <row r="2831" spans="12:12" x14ac:dyDescent="0.35">
      <c r="L2831" s="3">
        <f t="shared" si="46"/>
        <v>0</v>
      </c>
    </row>
    <row r="2832" spans="12:12" x14ac:dyDescent="0.35">
      <c r="L2832" s="3">
        <f t="shared" si="46"/>
        <v>0</v>
      </c>
    </row>
    <row r="2833" spans="12:12" x14ac:dyDescent="0.35">
      <c r="L2833" s="3">
        <f t="shared" si="46"/>
        <v>0</v>
      </c>
    </row>
    <row r="2834" spans="12:12" x14ac:dyDescent="0.35">
      <c r="L2834" s="3">
        <f t="shared" si="46"/>
        <v>0</v>
      </c>
    </row>
    <row r="2835" spans="12:12" x14ac:dyDescent="0.35">
      <c r="L2835" s="3">
        <f t="shared" si="46"/>
        <v>0</v>
      </c>
    </row>
    <row r="2836" spans="12:12" x14ac:dyDescent="0.35">
      <c r="L2836" s="3">
        <f t="shared" si="46"/>
        <v>0</v>
      </c>
    </row>
    <row r="2837" spans="12:12" x14ac:dyDescent="0.35">
      <c r="L2837" s="3">
        <f t="shared" si="46"/>
        <v>0</v>
      </c>
    </row>
    <row r="2838" spans="12:12" x14ac:dyDescent="0.35">
      <c r="L2838" s="3">
        <f t="shared" si="46"/>
        <v>0</v>
      </c>
    </row>
    <row r="2839" spans="12:12" x14ac:dyDescent="0.35">
      <c r="L2839" s="3">
        <f t="shared" si="46"/>
        <v>0</v>
      </c>
    </row>
    <row r="2840" spans="12:12" x14ac:dyDescent="0.35">
      <c r="L2840" s="3">
        <f t="shared" si="46"/>
        <v>0</v>
      </c>
    </row>
    <row r="2841" spans="12:12" x14ac:dyDescent="0.35">
      <c r="L2841" s="3">
        <f t="shared" si="46"/>
        <v>0</v>
      </c>
    </row>
    <row r="2842" spans="12:12" x14ac:dyDescent="0.35">
      <c r="L2842" s="3">
        <f t="shared" si="46"/>
        <v>0</v>
      </c>
    </row>
    <row r="2843" spans="12:12" x14ac:dyDescent="0.35">
      <c r="L2843" s="3">
        <f t="shared" si="46"/>
        <v>0</v>
      </c>
    </row>
    <row r="2844" spans="12:12" x14ac:dyDescent="0.35">
      <c r="L2844" s="3">
        <f t="shared" si="46"/>
        <v>0</v>
      </c>
    </row>
    <row r="2845" spans="12:12" x14ac:dyDescent="0.35">
      <c r="L2845" s="3">
        <f t="shared" si="46"/>
        <v>0</v>
      </c>
    </row>
    <row r="2846" spans="12:12" x14ac:dyDescent="0.35">
      <c r="L2846" s="3">
        <f t="shared" si="46"/>
        <v>0</v>
      </c>
    </row>
    <row r="2847" spans="12:12" x14ac:dyDescent="0.35">
      <c r="L2847" s="3">
        <f t="shared" si="46"/>
        <v>0</v>
      </c>
    </row>
    <row r="2848" spans="12:12" x14ac:dyDescent="0.35">
      <c r="L2848" s="3">
        <f t="shared" si="46"/>
        <v>0</v>
      </c>
    </row>
    <row r="2849" spans="12:12" x14ac:dyDescent="0.35">
      <c r="L2849" s="3">
        <f t="shared" si="46"/>
        <v>0</v>
      </c>
    </row>
    <row r="2850" spans="12:12" x14ac:dyDescent="0.35">
      <c r="L2850" s="3">
        <f t="shared" si="46"/>
        <v>0</v>
      </c>
    </row>
    <row r="2851" spans="12:12" x14ac:dyDescent="0.35">
      <c r="L2851" s="3">
        <f t="shared" si="46"/>
        <v>0</v>
      </c>
    </row>
    <row r="2852" spans="12:12" x14ac:dyDescent="0.35">
      <c r="L2852" s="3">
        <f t="shared" si="46"/>
        <v>0</v>
      </c>
    </row>
    <row r="2853" spans="12:12" x14ac:dyDescent="0.35">
      <c r="L2853" s="3">
        <f t="shared" si="46"/>
        <v>0</v>
      </c>
    </row>
    <row r="2854" spans="12:12" x14ac:dyDescent="0.35">
      <c r="L2854" s="3">
        <f t="shared" si="46"/>
        <v>0</v>
      </c>
    </row>
    <row r="2855" spans="12:12" x14ac:dyDescent="0.35">
      <c r="L2855" s="3">
        <f t="shared" si="46"/>
        <v>0</v>
      </c>
    </row>
    <row r="2856" spans="12:12" x14ac:dyDescent="0.35">
      <c r="L2856" s="3">
        <f t="shared" si="46"/>
        <v>0</v>
      </c>
    </row>
    <row r="2857" spans="12:12" x14ac:dyDescent="0.35">
      <c r="L2857" s="3">
        <f t="shared" si="46"/>
        <v>0</v>
      </c>
    </row>
    <row r="2858" spans="12:12" x14ac:dyDescent="0.35">
      <c r="L2858" s="3">
        <f t="shared" si="46"/>
        <v>0</v>
      </c>
    </row>
    <row r="2859" spans="12:12" x14ac:dyDescent="0.35">
      <c r="L2859" s="3">
        <f t="shared" si="46"/>
        <v>0</v>
      </c>
    </row>
    <row r="2860" spans="12:12" x14ac:dyDescent="0.35">
      <c r="L2860" s="3">
        <f t="shared" si="46"/>
        <v>0</v>
      </c>
    </row>
    <row r="2861" spans="12:12" x14ac:dyDescent="0.35">
      <c r="L2861" s="3">
        <f t="shared" si="46"/>
        <v>0</v>
      </c>
    </row>
    <row r="2862" spans="12:12" x14ac:dyDescent="0.35">
      <c r="L2862" s="3">
        <f t="shared" si="46"/>
        <v>0</v>
      </c>
    </row>
    <row r="2863" spans="12:12" x14ac:dyDescent="0.35">
      <c r="L2863" s="3">
        <f t="shared" si="46"/>
        <v>0</v>
      </c>
    </row>
    <row r="2864" spans="12:12" x14ac:dyDescent="0.35">
      <c r="L2864" s="3">
        <f t="shared" si="46"/>
        <v>0</v>
      </c>
    </row>
    <row r="2865" spans="12:12" x14ac:dyDescent="0.35">
      <c r="L2865" s="3">
        <f t="shared" si="46"/>
        <v>0</v>
      </c>
    </row>
    <row r="2866" spans="12:12" x14ac:dyDescent="0.35">
      <c r="L2866" s="3">
        <f t="shared" si="46"/>
        <v>0</v>
      </c>
    </row>
    <row r="2867" spans="12:12" x14ac:dyDescent="0.35">
      <c r="L2867" s="3">
        <f t="shared" si="46"/>
        <v>0</v>
      </c>
    </row>
    <row r="2868" spans="12:12" x14ac:dyDescent="0.35">
      <c r="L2868" s="3">
        <f t="shared" si="46"/>
        <v>0</v>
      </c>
    </row>
    <row r="2869" spans="12:12" x14ac:dyDescent="0.35">
      <c r="L2869" s="3">
        <f t="shared" si="46"/>
        <v>0</v>
      </c>
    </row>
    <row r="2870" spans="12:12" x14ac:dyDescent="0.35">
      <c r="L2870" s="3">
        <f t="shared" si="46"/>
        <v>0</v>
      </c>
    </row>
    <row r="2871" spans="12:12" x14ac:dyDescent="0.35">
      <c r="L2871" s="3">
        <f t="shared" si="46"/>
        <v>0</v>
      </c>
    </row>
    <row r="2872" spans="12:12" x14ac:dyDescent="0.35">
      <c r="L2872" s="3">
        <f t="shared" si="46"/>
        <v>0</v>
      </c>
    </row>
    <row r="2873" spans="12:12" x14ac:dyDescent="0.35">
      <c r="L2873" s="3">
        <f t="shared" si="46"/>
        <v>0</v>
      </c>
    </row>
    <row r="2874" spans="12:12" x14ac:dyDescent="0.35">
      <c r="L2874" s="3">
        <f t="shared" si="46"/>
        <v>0</v>
      </c>
    </row>
    <row r="2875" spans="12:12" x14ac:dyDescent="0.35">
      <c r="L2875" s="3">
        <f t="shared" ref="L2875:L2938" si="47">K2875*C2875</f>
        <v>0</v>
      </c>
    </row>
    <row r="2876" spans="12:12" x14ac:dyDescent="0.35">
      <c r="L2876" s="3">
        <f t="shared" si="47"/>
        <v>0</v>
      </c>
    </row>
    <row r="2877" spans="12:12" x14ac:dyDescent="0.35">
      <c r="L2877" s="3">
        <f t="shared" si="47"/>
        <v>0</v>
      </c>
    </row>
    <row r="2878" spans="12:12" x14ac:dyDescent="0.35">
      <c r="L2878" s="3">
        <f t="shared" si="47"/>
        <v>0</v>
      </c>
    </row>
    <row r="2879" spans="12:12" x14ac:dyDescent="0.35">
      <c r="L2879" s="3">
        <f t="shared" si="47"/>
        <v>0</v>
      </c>
    </row>
    <row r="2880" spans="12:12" x14ac:dyDescent="0.35">
      <c r="L2880" s="3">
        <f t="shared" si="47"/>
        <v>0</v>
      </c>
    </row>
    <row r="2881" spans="12:12" x14ac:dyDescent="0.35">
      <c r="L2881" s="3">
        <f t="shared" si="47"/>
        <v>0</v>
      </c>
    </row>
    <row r="2882" spans="12:12" x14ac:dyDescent="0.35">
      <c r="L2882" s="3">
        <f t="shared" si="47"/>
        <v>0</v>
      </c>
    </row>
    <row r="2883" spans="12:12" x14ac:dyDescent="0.35">
      <c r="L2883" s="3">
        <f t="shared" si="47"/>
        <v>0</v>
      </c>
    </row>
    <row r="2884" spans="12:12" x14ac:dyDescent="0.35">
      <c r="L2884" s="3">
        <f t="shared" si="47"/>
        <v>0</v>
      </c>
    </row>
    <row r="2885" spans="12:12" x14ac:dyDescent="0.35">
      <c r="L2885" s="3">
        <f t="shared" si="47"/>
        <v>0</v>
      </c>
    </row>
    <row r="2886" spans="12:12" x14ac:dyDescent="0.35">
      <c r="L2886" s="3">
        <f t="shared" si="47"/>
        <v>0</v>
      </c>
    </row>
    <row r="2887" spans="12:12" x14ac:dyDescent="0.35">
      <c r="L2887" s="3">
        <f t="shared" si="47"/>
        <v>0</v>
      </c>
    </row>
    <row r="2888" spans="12:12" x14ac:dyDescent="0.35">
      <c r="L2888" s="3">
        <f t="shared" si="47"/>
        <v>0</v>
      </c>
    </row>
    <row r="2889" spans="12:12" x14ac:dyDescent="0.35">
      <c r="L2889" s="3">
        <f t="shared" si="47"/>
        <v>0</v>
      </c>
    </row>
    <row r="2890" spans="12:12" x14ac:dyDescent="0.35">
      <c r="L2890" s="3">
        <f t="shared" si="47"/>
        <v>0</v>
      </c>
    </row>
    <row r="2891" spans="12:12" x14ac:dyDescent="0.35">
      <c r="L2891" s="3">
        <f t="shared" si="47"/>
        <v>0</v>
      </c>
    </row>
    <row r="2892" spans="12:12" x14ac:dyDescent="0.35">
      <c r="L2892" s="3">
        <f t="shared" si="47"/>
        <v>0</v>
      </c>
    </row>
    <row r="2893" spans="12:12" x14ac:dyDescent="0.35">
      <c r="L2893" s="3">
        <f t="shared" si="47"/>
        <v>0</v>
      </c>
    </row>
    <row r="2894" spans="12:12" x14ac:dyDescent="0.35">
      <c r="L2894" s="3">
        <f t="shared" si="47"/>
        <v>0</v>
      </c>
    </row>
    <row r="2895" spans="12:12" x14ac:dyDescent="0.35">
      <c r="L2895" s="3">
        <f t="shared" si="47"/>
        <v>0</v>
      </c>
    </row>
    <row r="2896" spans="12:12" x14ac:dyDescent="0.35">
      <c r="L2896" s="3">
        <f t="shared" si="47"/>
        <v>0</v>
      </c>
    </row>
    <row r="2897" spans="12:12" x14ac:dyDescent="0.35">
      <c r="L2897" s="3">
        <f t="shared" si="47"/>
        <v>0</v>
      </c>
    </row>
    <row r="2898" spans="12:12" x14ac:dyDescent="0.35">
      <c r="L2898" s="3">
        <f t="shared" si="47"/>
        <v>0</v>
      </c>
    </row>
    <row r="2899" spans="12:12" x14ac:dyDescent="0.35">
      <c r="L2899" s="3">
        <f t="shared" si="47"/>
        <v>0</v>
      </c>
    </row>
    <row r="2900" spans="12:12" x14ac:dyDescent="0.35">
      <c r="L2900" s="3">
        <f t="shared" si="47"/>
        <v>0</v>
      </c>
    </row>
    <row r="2901" spans="12:12" x14ac:dyDescent="0.35">
      <c r="L2901" s="3">
        <f t="shared" si="47"/>
        <v>0</v>
      </c>
    </row>
    <row r="2902" spans="12:12" x14ac:dyDescent="0.35">
      <c r="L2902" s="3">
        <f t="shared" si="47"/>
        <v>0</v>
      </c>
    </row>
    <row r="2903" spans="12:12" x14ac:dyDescent="0.35">
      <c r="L2903" s="3">
        <f t="shared" si="47"/>
        <v>0</v>
      </c>
    </row>
    <row r="2904" spans="12:12" x14ac:dyDescent="0.35">
      <c r="L2904" s="3">
        <f t="shared" si="47"/>
        <v>0</v>
      </c>
    </row>
    <row r="2905" spans="12:12" x14ac:dyDescent="0.35">
      <c r="L2905" s="3">
        <f t="shared" si="47"/>
        <v>0</v>
      </c>
    </row>
    <row r="2906" spans="12:12" x14ac:dyDescent="0.35">
      <c r="L2906" s="3">
        <f t="shared" si="47"/>
        <v>0</v>
      </c>
    </row>
    <row r="2907" spans="12:12" x14ac:dyDescent="0.35">
      <c r="L2907" s="3">
        <f t="shared" si="47"/>
        <v>0</v>
      </c>
    </row>
    <row r="2908" spans="12:12" x14ac:dyDescent="0.35">
      <c r="L2908" s="3">
        <f t="shared" si="47"/>
        <v>0</v>
      </c>
    </row>
    <row r="2909" spans="12:12" x14ac:dyDescent="0.35">
      <c r="L2909" s="3">
        <f t="shared" si="47"/>
        <v>0</v>
      </c>
    </row>
    <row r="2910" spans="12:12" x14ac:dyDescent="0.35">
      <c r="L2910" s="3">
        <f t="shared" si="47"/>
        <v>0</v>
      </c>
    </row>
    <row r="2911" spans="12:12" x14ac:dyDescent="0.35">
      <c r="L2911" s="3">
        <f t="shared" si="47"/>
        <v>0</v>
      </c>
    </row>
    <row r="2912" spans="12:12" x14ac:dyDescent="0.35">
      <c r="L2912" s="3">
        <f t="shared" si="47"/>
        <v>0</v>
      </c>
    </row>
    <row r="2913" spans="12:12" x14ac:dyDescent="0.35">
      <c r="L2913" s="3">
        <f t="shared" si="47"/>
        <v>0</v>
      </c>
    </row>
    <row r="2914" spans="12:12" x14ac:dyDescent="0.35">
      <c r="L2914" s="3">
        <f t="shared" si="47"/>
        <v>0</v>
      </c>
    </row>
    <row r="2915" spans="12:12" x14ac:dyDescent="0.35">
      <c r="L2915" s="3">
        <f t="shared" si="47"/>
        <v>0</v>
      </c>
    </row>
    <row r="2916" spans="12:12" x14ac:dyDescent="0.35">
      <c r="L2916" s="3">
        <f t="shared" si="47"/>
        <v>0</v>
      </c>
    </row>
    <row r="2917" spans="12:12" x14ac:dyDescent="0.35">
      <c r="L2917" s="3">
        <f t="shared" si="47"/>
        <v>0</v>
      </c>
    </row>
    <row r="2918" spans="12:12" x14ac:dyDescent="0.35">
      <c r="L2918" s="3">
        <f t="shared" si="47"/>
        <v>0</v>
      </c>
    </row>
    <row r="2919" spans="12:12" x14ac:dyDescent="0.35">
      <c r="L2919" s="3">
        <f t="shared" si="47"/>
        <v>0</v>
      </c>
    </row>
    <row r="2920" spans="12:12" x14ac:dyDescent="0.35">
      <c r="L2920" s="3">
        <f t="shared" si="47"/>
        <v>0</v>
      </c>
    </row>
    <row r="2921" spans="12:12" x14ac:dyDescent="0.35">
      <c r="L2921" s="3">
        <f t="shared" si="47"/>
        <v>0</v>
      </c>
    </row>
    <row r="2922" spans="12:12" x14ac:dyDescent="0.35">
      <c r="L2922" s="3">
        <f t="shared" si="47"/>
        <v>0</v>
      </c>
    </row>
    <row r="2923" spans="12:12" x14ac:dyDescent="0.35">
      <c r="L2923" s="3">
        <f t="shared" si="47"/>
        <v>0</v>
      </c>
    </row>
    <row r="2924" spans="12:12" x14ac:dyDescent="0.35">
      <c r="L2924" s="3">
        <f t="shared" si="47"/>
        <v>0</v>
      </c>
    </row>
    <row r="2925" spans="12:12" x14ac:dyDescent="0.35">
      <c r="L2925" s="3">
        <f t="shared" si="47"/>
        <v>0</v>
      </c>
    </row>
    <row r="2926" spans="12:12" x14ac:dyDescent="0.35">
      <c r="L2926" s="3">
        <f t="shared" si="47"/>
        <v>0</v>
      </c>
    </row>
    <row r="2927" spans="12:12" x14ac:dyDescent="0.35">
      <c r="L2927" s="3">
        <f t="shared" si="47"/>
        <v>0</v>
      </c>
    </row>
    <row r="2928" spans="12:12" x14ac:dyDescent="0.35">
      <c r="L2928" s="3">
        <f t="shared" si="47"/>
        <v>0</v>
      </c>
    </row>
    <row r="2929" spans="12:12" x14ac:dyDescent="0.35">
      <c r="L2929" s="3">
        <f t="shared" si="47"/>
        <v>0</v>
      </c>
    </row>
    <row r="2930" spans="12:12" x14ac:dyDescent="0.35">
      <c r="L2930" s="3">
        <f t="shared" si="47"/>
        <v>0</v>
      </c>
    </row>
    <row r="2931" spans="12:12" x14ac:dyDescent="0.35">
      <c r="L2931" s="3">
        <f t="shared" si="47"/>
        <v>0</v>
      </c>
    </row>
    <row r="2932" spans="12:12" x14ac:dyDescent="0.35">
      <c r="L2932" s="3">
        <f t="shared" si="47"/>
        <v>0</v>
      </c>
    </row>
    <row r="2933" spans="12:12" x14ac:dyDescent="0.35">
      <c r="L2933" s="3">
        <f t="shared" si="47"/>
        <v>0</v>
      </c>
    </row>
    <row r="2934" spans="12:12" x14ac:dyDescent="0.35">
      <c r="L2934" s="3">
        <f t="shared" si="47"/>
        <v>0</v>
      </c>
    </row>
    <row r="2935" spans="12:12" x14ac:dyDescent="0.35">
      <c r="L2935" s="3">
        <f t="shared" si="47"/>
        <v>0</v>
      </c>
    </row>
    <row r="2936" spans="12:12" x14ac:dyDescent="0.35">
      <c r="L2936" s="3">
        <f t="shared" si="47"/>
        <v>0</v>
      </c>
    </row>
    <row r="2937" spans="12:12" x14ac:dyDescent="0.35">
      <c r="L2937" s="3">
        <f t="shared" si="47"/>
        <v>0</v>
      </c>
    </row>
    <row r="2938" spans="12:12" x14ac:dyDescent="0.35">
      <c r="L2938" s="3">
        <f t="shared" si="47"/>
        <v>0</v>
      </c>
    </row>
    <row r="2939" spans="12:12" x14ac:dyDescent="0.35">
      <c r="L2939" s="3">
        <f t="shared" ref="L2939:L3002" si="48">K2939*C2939</f>
        <v>0</v>
      </c>
    </row>
    <row r="2940" spans="12:12" x14ac:dyDescent="0.35">
      <c r="L2940" s="3">
        <f t="shared" si="48"/>
        <v>0</v>
      </c>
    </row>
    <row r="2941" spans="12:12" x14ac:dyDescent="0.35">
      <c r="L2941" s="3">
        <f t="shared" si="48"/>
        <v>0</v>
      </c>
    </row>
    <row r="2942" spans="12:12" x14ac:dyDescent="0.35">
      <c r="L2942" s="3">
        <f t="shared" si="48"/>
        <v>0</v>
      </c>
    </row>
    <row r="2943" spans="12:12" x14ac:dyDescent="0.35">
      <c r="L2943" s="3">
        <f t="shared" si="48"/>
        <v>0</v>
      </c>
    </row>
    <row r="2944" spans="12:12" x14ac:dyDescent="0.35">
      <c r="L2944" s="3">
        <f t="shared" si="48"/>
        <v>0</v>
      </c>
    </row>
    <row r="2945" spans="12:12" x14ac:dyDescent="0.35">
      <c r="L2945" s="3">
        <f t="shared" si="48"/>
        <v>0</v>
      </c>
    </row>
    <row r="2946" spans="12:12" x14ac:dyDescent="0.35">
      <c r="L2946" s="3">
        <f t="shared" si="48"/>
        <v>0</v>
      </c>
    </row>
    <row r="2947" spans="12:12" x14ac:dyDescent="0.35">
      <c r="L2947" s="3">
        <f t="shared" si="48"/>
        <v>0</v>
      </c>
    </row>
    <row r="2948" spans="12:12" x14ac:dyDescent="0.35">
      <c r="L2948" s="3">
        <f t="shared" si="48"/>
        <v>0</v>
      </c>
    </row>
    <row r="2949" spans="12:12" x14ac:dyDescent="0.35">
      <c r="L2949" s="3">
        <f t="shared" si="48"/>
        <v>0</v>
      </c>
    </row>
    <row r="2950" spans="12:12" x14ac:dyDescent="0.35">
      <c r="L2950" s="3">
        <f t="shared" si="48"/>
        <v>0</v>
      </c>
    </row>
    <row r="2951" spans="12:12" x14ac:dyDescent="0.35">
      <c r="L2951" s="3">
        <f t="shared" si="48"/>
        <v>0</v>
      </c>
    </row>
    <row r="2952" spans="12:12" x14ac:dyDescent="0.35">
      <c r="L2952" s="3">
        <f t="shared" si="48"/>
        <v>0</v>
      </c>
    </row>
    <row r="2953" spans="12:12" x14ac:dyDescent="0.35">
      <c r="L2953" s="3">
        <f t="shared" si="48"/>
        <v>0</v>
      </c>
    </row>
    <row r="2954" spans="12:12" x14ac:dyDescent="0.35">
      <c r="L2954" s="3">
        <f t="shared" si="48"/>
        <v>0</v>
      </c>
    </row>
    <row r="2955" spans="12:12" x14ac:dyDescent="0.35">
      <c r="L2955" s="3">
        <f t="shared" si="48"/>
        <v>0</v>
      </c>
    </row>
    <row r="2956" spans="12:12" x14ac:dyDescent="0.35">
      <c r="L2956" s="3">
        <f t="shared" si="48"/>
        <v>0</v>
      </c>
    </row>
    <row r="2957" spans="12:12" x14ac:dyDescent="0.35">
      <c r="L2957" s="3">
        <f t="shared" si="48"/>
        <v>0</v>
      </c>
    </row>
    <row r="2958" spans="12:12" x14ac:dyDescent="0.35">
      <c r="L2958" s="3">
        <f t="shared" si="48"/>
        <v>0</v>
      </c>
    </row>
    <row r="2959" spans="12:12" x14ac:dyDescent="0.35">
      <c r="L2959" s="3">
        <f t="shared" si="48"/>
        <v>0</v>
      </c>
    </row>
    <row r="2960" spans="12:12" x14ac:dyDescent="0.35">
      <c r="L2960" s="3">
        <f t="shared" si="48"/>
        <v>0</v>
      </c>
    </row>
    <row r="2961" spans="12:12" x14ac:dyDescent="0.35">
      <c r="L2961" s="3">
        <f t="shared" si="48"/>
        <v>0</v>
      </c>
    </row>
    <row r="2962" spans="12:12" x14ac:dyDescent="0.35">
      <c r="L2962" s="3">
        <f t="shared" si="48"/>
        <v>0</v>
      </c>
    </row>
    <row r="2963" spans="12:12" x14ac:dyDescent="0.35">
      <c r="L2963" s="3">
        <f t="shared" si="48"/>
        <v>0</v>
      </c>
    </row>
    <row r="2964" spans="12:12" x14ac:dyDescent="0.35">
      <c r="L2964" s="3">
        <f t="shared" si="48"/>
        <v>0</v>
      </c>
    </row>
    <row r="2965" spans="12:12" x14ac:dyDescent="0.35">
      <c r="L2965" s="3">
        <f t="shared" si="48"/>
        <v>0</v>
      </c>
    </row>
    <row r="2966" spans="12:12" x14ac:dyDescent="0.35">
      <c r="L2966" s="3">
        <f t="shared" si="48"/>
        <v>0</v>
      </c>
    </row>
    <row r="2967" spans="12:12" x14ac:dyDescent="0.35">
      <c r="L2967" s="3">
        <f t="shared" si="48"/>
        <v>0</v>
      </c>
    </row>
    <row r="2968" spans="12:12" x14ac:dyDescent="0.35">
      <c r="L2968" s="3">
        <f t="shared" si="48"/>
        <v>0</v>
      </c>
    </row>
    <row r="2969" spans="12:12" x14ac:dyDescent="0.35">
      <c r="L2969" s="3">
        <f t="shared" si="48"/>
        <v>0</v>
      </c>
    </row>
    <row r="2970" spans="12:12" x14ac:dyDescent="0.35">
      <c r="L2970" s="3">
        <f t="shared" si="48"/>
        <v>0</v>
      </c>
    </row>
    <row r="2971" spans="12:12" x14ac:dyDescent="0.35">
      <c r="L2971" s="3">
        <f t="shared" si="48"/>
        <v>0</v>
      </c>
    </row>
    <row r="2972" spans="12:12" x14ac:dyDescent="0.35">
      <c r="L2972" s="3">
        <f t="shared" si="48"/>
        <v>0</v>
      </c>
    </row>
    <row r="2973" spans="12:12" x14ac:dyDescent="0.35">
      <c r="L2973" s="3">
        <f t="shared" si="48"/>
        <v>0</v>
      </c>
    </row>
    <row r="2974" spans="12:12" x14ac:dyDescent="0.35">
      <c r="L2974" s="3">
        <f t="shared" si="48"/>
        <v>0</v>
      </c>
    </row>
    <row r="2975" spans="12:12" x14ac:dyDescent="0.35">
      <c r="L2975" s="3">
        <f t="shared" si="48"/>
        <v>0</v>
      </c>
    </row>
    <row r="2976" spans="12:12" x14ac:dyDescent="0.35">
      <c r="L2976" s="3">
        <f t="shared" si="48"/>
        <v>0</v>
      </c>
    </row>
    <row r="2977" spans="12:12" x14ac:dyDescent="0.35">
      <c r="L2977" s="3">
        <f t="shared" si="48"/>
        <v>0</v>
      </c>
    </row>
    <row r="2978" spans="12:12" x14ac:dyDescent="0.35">
      <c r="L2978" s="3">
        <f t="shared" si="48"/>
        <v>0</v>
      </c>
    </row>
    <row r="2979" spans="12:12" x14ac:dyDescent="0.35">
      <c r="L2979" s="3">
        <f t="shared" si="48"/>
        <v>0</v>
      </c>
    </row>
    <row r="2980" spans="12:12" x14ac:dyDescent="0.35">
      <c r="L2980" s="3">
        <f t="shared" si="48"/>
        <v>0</v>
      </c>
    </row>
    <row r="2981" spans="12:12" x14ac:dyDescent="0.35">
      <c r="L2981" s="3">
        <f t="shared" si="48"/>
        <v>0</v>
      </c>
    </row>
    <row r="2982" spans="12:12" x14ac:dyDescent="0.35">
      <c r="L2982" s="3">
        <f t="shared" si="48"/>
        <v>0</v>
      </c>
    </row>
    <row r="2983" spans="12:12" x14ac:dyDescent="0.35">
      <c r="L2983" s="3">
        <f t="shared" si="48"/>
        <v>0</v>
      </c>
    </row>
    <row r="2984" spans="12:12" x14ac:dyDescent="0.35">
      <c r="L2984" s="3">
        <f t="shared" si="48"/>
        <v>0</v>
      </c>
    </row>
    <row r="2985" spans="12:12" x14ac:dyDescent="0.35">
      <c r="L2985" s="3">
        <f t="shared" si="48"/>
        <v>0</v>
      </c>
    </row>
    <row r="2986" spans="12:12" x14ac:dyDescent="0.35">
      <c r="L2986" s="3">
        <f t="shared" si="48"/>
        <v>0</v>
      </c>
    </row>
    <row r="2987" spans="12:12" x14ac:dyDescent="0.35">
      <c r="L2987" s="3">
        <f t="shared" si="48"/>
        <v>0</v>
      </c>
    </row>
    <row r="2988" spans="12:12" x14ac:dyDescent="0.35">
      <c r="L2988" s="3">
        <f t="shared" si="48"/>
        <v>0</v>
      </c>
    </row>
    <row r="2989" spans="12:12" x14ac:dyDescent="0.35">
      <c r="L2989" s="3">
        <f t="shared" si="48"/>
        <v>0</v>
      </c>
    </row>
    <row r="2990" spans="12:12" x14ac:dyDescent="0.35">
      <c r="L2990" s="3">
        <f t="shared" si="48"/>
        <v>0</v>
      </c>
    </row>
    <row r="2991" spans="12:12" x14ac:dyDescent="0.35">
      <c r="L2991" s="3">
        <f t="shared" si="48"/>
        <v>0</v>
      </c>
    </row>
    <row r="2992" spans="12:12" x14ac:dyDescent="0.35">
      <c r="L2992" s="3">
        <f t="shared" si="48"/>
        <v>0</v>
      </c>
    </row>
    <row r="2993" spans="12:12" x14ac:dyDescent="0.35">
      <c r="L2993" s="3">
        <f t="shared" si="48"/>
        <v>0</v>
      </c>
    </row>
    <row r="2994" spans="12:12" x14ac:dyDescent="0.35">
      <c r="L2994" s="3">
        <f t="shared" si="48"/>
        <v>0</v>
      </c>
    </row>
    <row r="2995" spans="12:12" x14ac:dyDescent="0.35">
      <c r="L2995" s="3">
        <f t="shared" si="48"/>
        <v>0</v>
      </c>
    </row>
    <row r="2996" spans="12:12" x14ac:dyDescent="0.35">
      <c r="L2996" s="3">
        <f t="shared" si="48"/>
        <v>0</v>
      </c>
    </row>
    <row r="2997" spans="12:12" x14ac:dyDescent="0.35">
      <c r="L2997" s="3">
        <f t="shared" si="48"/>
        <v>0</v>
      </c>
    </row>
    <row r="2998" spans="12:12" x14ac:dyDescent="0.35">
      <c r="L2998" s="3">
        <f t="shared" si="48"/>
        <v>0</v>
      </c>
    </row>
    <row r="2999" spans="12:12" x14ac:dyDescent="0.35">
      <c r="L2999" s="3">
        <f t="shared" si="48"/>
        <v>0</v>
      </c>
    </row>
    <row r="3000" spans="12:12" x14ac:dyDescent="0.35">
      <c r="L3000" s="3">
        <f t="shared" si="48"/>
        <v>0</v>
      </c>
    </row>
    <row r="3001" spans="12:12" x14ac:dyDescent="0.35">
      <c r="L3001" s="3">
        <f t="shared" si="48"/>
        <v>0</v>
      </c>
    </row>
    <row r="3002" spans="12:12" x14ac:dyDescent="0.35">
      <c r="L3002" s="3">
        <f t="shared" si="48"/>
        <v>0</v>
      </c>
    </row>
    <row r="3003" spans="12:12" x14ac:dyDescent="0.35">
      <c r="L3003" s="3">
        <f t="shared" ref="L3003:L3066" si="49">K3003*C3003</f>
        <v>0</v>
      </c>
    </row>
    <row r="3004" spans="12:12" x14ac:dyDescent="0.35">
      <c r="L3004" s="3">
        <f t="shared" si="49"/>
        <v>0</v>
      </c>
    </row>
    <row r="3005" spans="12:12" x14ac:dyDescent="0.35">
      <c r="L3005" s="3">
        <f t="shared" si="49"/>
        <v>0</v>
      </c>
    </row>
    <row r="3006" spans="12:12" x14ac:dyDescent="0.35">
      <c r="L3006" s="3">
        <f t="shared" si="49"/>
        <v>0</v>
      </c>
    </row>
    <row r="3007" spans="12:12" x14ac:dyDescent="0.35">
      <c r="L3007" s="3">
        <f t="shared" si="49"/>
        <v>0</v>
      </c>
    </row>
    <row r="3008" spans="12:12" x14ac:dyDescent="0.35">
      <c r="L3008" s="3">
        <f t="shared" si="49"/>
        <v>0</v>
      </c>
    </row>
    <row r="3009" spans="12:12" x14ac:dyDescent="0.35">
      <c r="L3009" s="3">
        <f t="shared" si="49"/>
        <v>0</v>
      </c>
    </row>
    <row r="3010" spans="12:12" x14ac:dyDescent="0.35">
      <c r="L3010" s="3">
        <f t="shared" si="49"/>
        <v>0</v>
      </c>
    </row>
    <row r="3011" spans="12:12" x14ac:dyDescent="0.35">
      <c r="L3011" s="3">
        <f t="shared" si="49"/>
        <v>0</v>
      </c>
    </row>
    <row r="3012" spans="12:12" x14ac:dyDescent="0.35">
      <c r="L3012" s="3">
        <f t="shared" si="49"/>
        <v>0</v>
      </c>
    </row>
    <row r="3013" spans="12:12" x14ac:dyDescent="0.35">
      <c r="L3013" s="3">
        <f t="shared" si="49"/>
        <v>0</v>
      </c>
    </row>
    <row r="3014" spans="12:12" x14ac:dyDescent="0.35">
      <c r="L3014" s="3">
        <f t="shared" si="49"/>
        <v>0</v>
      </c>
    </row>
    <row r="3015" spans="12:12" x14ac:dyDescent="0.35">
      <c r="L3015" s="3">
        <f t="shared" si="49"/>
        <v>0</v>
      </c>
    </row>
    <row r="3016" spans="12:12" x14ac:dyDescent="0.35">
      <c r="L3016" s="3">
        <f t="shared" si="49"/>
        <v>0</v>
      </c>
    </row>
    <row r="3017" spans="12:12" x14ac:dyDescent="0.35">
      <c r="L3017" s="3">
        <f t="shared" si="49"/>
        <v>0</v>
      </c>
    </row>
    <row r="3018" spans="12:12" x14ac:dyDescent="0.35">
      <c r="L3018" s="3">
        <f t="shared" si="49"/>
        <v>0</v>
      </c>
    </row>
    <row r="3019" spans="12:12" x14ac:dyDescent="0.35">
      <c r="L3019" s="3">
        <f t="shared" si="49"/>
        <v>0</v>
      </c>
    </row>
    <row r="3020" spans="12:12" x14ac:dyDescent="0.35">
      <c r="L3020" s="3">
        <f t="shared" si="49"/>
        <v>0</v>
      </c>
    </row>
    <row r="3021" spans="12:12" x14ac:dyDescent="0.35">
      <c r="L3021" s="3">
        <f t="shared" si="49"/>
        <v>0</v>
      </c>
    </row>
    <row r="3022" spans="12:12" x14ac:dyDescent="0.35">
      <c r="L3022" s="3">
        <f t="shared" si="49"/>
        <v>0</v>
      </c>
    </row>
    <row r="3023" spans="12:12" x14ac:dyDescent="0.35">
      <c r="L3023" s="3">
        <f t="shared" si="49"/>
        <v>0</v>
      </c>
    </row>
    <row r="3024" spans="12:12" x14ac:dyDescent="0.35">
      <c r="L3024" s="3">
        <f t="shared" si="49"/>
        <v>0</v>
      </c>
    </row>
    <row r="3025" spans="12:12" x14ac:dyDescent="0.35">
      <c r="L3025" s="3">
        <f t="shared" si="49"/>
        <v>0</v>
      </c>
    </row>
    <row r="3026" spans="12:12" x14ac:dyDescent="0.35">
      <c r="L3026" s="3">
        <f t="shared" si="49"/>
        <v>0</v>
      </c>
    </row>
    <row r="3027" spans="12:12" x14ac:dyDescent="0.35">
      <c r="L3027" s="3">
        <f t="shared" si="49"/>
        <v>0</v>
      </c>
    </row>
    <row r="3028" spans="12:12" x14ac:dyDescent="0.35">
      <c r="L3028" s="3">
        <f t="shared" si="49"/>
        <v>0</v>
      </c>
    </row>
    <row r="3029" spans="12:12" x14ac:dyDescent="0.35">
      <c r="L3029" s="3">
        <f t="shared" si="49"/>
        <v>0</v>
      </c>
    </row>
    <row r="3030" spans="12:12" x14ac:dyDescent="0.35">
      <c r="L3030" s="3">
        <f t="shared" si="49"/>
        <v>0</v>
      </c>
    </row>
    <row r="3031" spans="12:12" x14ac:dyDescent="0.35">
      <c r="L3031" s="3">
        <f t="shared" si="49"/>
        <v>0</v>
      </c>
    </row>
    <row r="3032" spans="12:12" x14ac:dyDescent="0.35">
      <c r="L3032" s="3">
        <f t="shared" si="49"/>
        <v>0</v>
      </c>
    </row>
    <row r="3033" spans="12:12" x14ac:dyDescent="0.35">
      <c r="L3033" s="3">
        <f t="shared" si="49"/>
        <v>0</v>
      </c>
    </row>
    <row r="3034" spans="12:12" x14ac:dyDescent="0.35">
      <c r="L3034" s="3">
        <f t="shared" si="49"/>
        <v>0</v>
      </c>
    </row>
    <row r="3035" spans="12:12" x14ac:dyDescent="0.35">
      <c r="L3035" s="3">
        <f t="shared" si="49"/>
        <v>0</v>
      </c>
    </row>
    <row r="3036" spans="12:12" x14ac:dyDescent="0.35">
      <c r="L3036" s="3">
        <f t="shared" si="49"/>
        <v>0</v>
      </c>
    </row>
    <row r="3037" spans="12:12" x14ac:dyDescent="0.35">
      <c r="L3037" s="3">
        <f t="shared" si="49"/>
        <v>0</v>
      </c>
    </row>
    <row r="3038" spans="12:12" x14ac:dyDescent="0.35">
      <c r="L3038" s="3">
        <f t="shared" si="49"/>
        <v>0</v>
      </c>
    </row>
    <row r="3039" spans="12:12" x14ac:dyDescent="0.35">
      <c r="L3039" s="3">
        <f t="shared" si="49"/>
        <v>0</v>
      </c>
    </row>
    <row r="3040" spans="12:12" x14ac:dyDescent="0.35">
      <c r="L3040" s="3">
        <f t="shared" si="49"/>
        <v>0</v>
      </c>
    </row>
    <row r="3041" spans="12:12" x14ac:dyDescent="0.35">
      <c r="L3041" s="3">
        <f t="shared" si="49"/>
        <v>0</v>
      </c>
    </row>
    <row r="3042" spans="12:12" x14ac:dyDescent="0.35">
      <c r="L3042" s="3">
        <f t="shared" si="49"/>
        <v>0</v>
      </c>
    </row>
    <row r="3043" spans="12:12" x14ac:dyDescent="0.35">
      <c r="L3043" s="3">
        <f t="shared" si="49"/>
        <v>0</v>
      </c>
    </row>
    <row r="3044" spans="12:12" x14ac:dyDescent="0.35">
      <c r="L3044" s="3">
        <f t="shared" si="49"/>
        <v>0</v>
      </c>
    </row>
    <row r="3045" spans="12:12" x14ac:dyDescent="0.35">
      <c r="L3045" s="3">
        <f t="shared" si="49"/>
        <v>0</v>
      </c>
    </row>
    <row r="3046" spans="12:12" x14ac:dyDescent="0.35">
      <c r="L3046" s="3">
        <f t="shared" si="49"/>
        <v>0</v>
      </c>
    </row>
    <row r="3047" spans="12:12" x14ac:dyDescent="0.35">
      <c r="L3047" s="3">
        <f t="shared" si="49"/>
        <v>0</v>
      </c>
    </row>
    <row r="3048" spans="12:12" x14ac:dyDescent="0.35">
      <c r="L3048" s="3">
        <f t="shared" si="49"/>
        <v>0</v>
      </c>
    </row>
    <row r="3049" spans="12:12" x14ac:dyDescent="0.35">
      <c r="L3049" s="3">
        <f t="shared" si="49"/>
        <v>0</v>
      </c>
    </row>
    <row r="3050" spans="12:12" x14ac:dyDescent="0.35">
      <c r="L3050" s="3">
        <f t="shared" si="49"/>
        <v>0</v>
      </c>
    </row>
    <row r="3051" spans="12:12" x14ac:dyDescent="0.35">
      <c r="L3051" s="3">
        <f t="shared" si="49"/>
        <v>0</v>
      </c>
    </row>
    <row r="3052" spans="12:12" x14ac:dyDescent="0.35">
      <c r="L3052" s="3">
        <f t="shared" si="49"/>
        <v>0</v>
      </c>
    </row>
    <row r="3053" spans="12:12" x14ac:dyDescent="0.35">
      <c r="L3053" s="3">
        <f t="shared" si="49"/>
        <v>0</v>
      </c>
    </row>
    <row r="3054" spans="12:12" x14ac:dyDescent="0.35">
      <c r="L3054" s="3">
        <f t="shared" si="49"/>
        <v>0</v>
      </c>
    </row>
    <row r="3055" spans="12:12" x14ac:dyDescent="0.35">
      <c r="L3055" s="3">
        <f t="shared" si="49"/>
        <v>0</v>
      </c>
    </row>
    <row r="3056" spans="12:12" x14ac:dyDescent="0.35">
      <c r="L3056" s="3">
        <f t="shared" si="49"/>
        <v>0</v>
      </c>
    </row>
    <row r="3057" spans="12:12" x14ac:dyDescent="0.35">
      <c r="L3057" s="3">
        <f t="shared" si="49"/>
        <v>0</v>
      </c>
    </row>
    <row r="3058" spans="12:12" x14ac:dyDescent="0.35">
      <c r="L3058" s="3">
        <f t="shared" si="49"/>
        <v>0</v>
      </c>
    </row>
    <row r="3059" spans="12:12" x14ac:dyDescent="0.35">
      <c r="L3059" s="3">
        <f t="shared" si="49"/>
        <v>0</v>
      </c>
    </row>
    <row r="3060" spans="12:12" x14ac:dyDescent="0.35">
      <c r="L3060" s="3">
        <f t="shared" si="49"/>
        <v>0</v>
      </c>
    </row>
    <row r="3061" spans="12:12" x14ac:dyDescent="0.35">
      <c r="L3061" s="3">
        <f t="shared" si="49"/>
        <v>0</v>
      </c>
    </row>
    <row r="3062" spans="12:12" x14ac:dyDescent="0.35">
      <c r="L3062" s="3">
        <f t="shared" si="49"/>
        <v>0</v>
      </c>
    </row>
    <row r="3063" spans="12:12" x14ac:dyDescent="0.35">
      <c r="L3063" s="3">
        <f t="shared" si="49"/>
        <v>0</v>
      </c>
    </row>
    <row r="3064" spans="12:12" x14ac:dyDescent="0.35">
      <c r="L3064" s="3">
        <f t="shared" si="49"/>
        <v>0</v>
      </c>
    </row>
    <row r="3065" spans="12:12" x14ac:dyDescent="0.35">
      <c r="L3065" s="3">
        <f t="shared" si="49"/>
        <v>0</v>
      </c>
    </row>
    <row r="3066" spans="12:12" x14ac:dyDescent="0.35">
      <c r="L3066" s="3">
        <f t="shared" si="49"/>
        <v>0</v>
      </c>
    </row>
    <row r="3067" spans="12:12" x14ac:dyDescent="0.35">
      <c r="L3067" s="3">
        <f t="shared" ref="L3067:L3130" si="50">K3067*C3067</f>
        <v>0</v>
      </c>
    </row>
    <row r="3068" spans="12:12" x14ac:dyDescent="0.35">
      <c r="L3068" s="3">
        <f t="shared" si="50"/>
        <v>0</v>
      </c>
    </row>
    <row r="3069" spans="12:12" x14ac:dyDescent="0.35">
      <c r="L3069" s="3">
        <f t="shared" si="50"/>
        <v>0</v>
      </c>
    </row>
    <row r="3070" spans="12:12" x14ac:dyDescent="0.35">
      <c r="L3070" s="3">
        <f t="shared" si="50"/>
        <v>0</v>
      </c>
    </row>
    <row r="3071" spans="12:12" x14ac:dyDescent="0.35">
      <c r="L3071" s="3">
        <f t="shared" si="50"/>
        <v>0</v>
      </c>
    </row>
    <row r="3072" spans="12:12" x14ac:dyDescent="0.35">
      <c r="L3072" s="3">
        <f t="shared" si="50"/>
        <v>0</v>
      </c>
    </row>
    <row r="3073" spans="12:12" x14ac:dyDescent="0.35">
      <c r="L3073" s="3">
        <f t="shared" si="50"/>
        <v>0</v>
      </c>
    </row>
    <row r="3074" spans="12:12" x14ac:dyDescent="0.35">
      <c r="L3074" s="3">
        <f t="shared" si="50"/>
        <v>0</v>
      </c>
    </row>
    <row r="3075" spans="12:12" x14ac:dyDescent="0.35">
      <c r="L3075" s="3">
        <f t="shared" si="50"/>
        <v>0</v>
      </c>
    </row>
    <row r="3076" spans="12:12" x14ac:dyDescent="0.35">
      <c r="L3076" s="3">
        <f t="shared" si="50"/>
        <v>0</v>
      </c>
    </row>
    <row r="3077" spans="12:12" x14ac:dyDescent="0.35">
      <c r="L3077" s="3">
        <f t="shared" si="50"/>
        <v>0</v>
      </c>
    </row>
    <row r="3078" spans="12:12" x14ac:dyDescent="0.35">
      <c r="L3078" s="3">
        <f t="shared" si="50"/>
        <v>0</v>
      </c>
    </row>
    <row r="3079" spans="12:12" x14ac:dyDescent="0.35">
      <c r="L3079" s="3">
        <f t="shared" si="50"/>
        <v>0</v>
      </c>
    </row>
    <row r="3080" spans="12:12" x14ac:dyDescent="0.35">
      <c r="L3080" s="3">
        <f t="shared" si="50"/>
        <v>0</v>
      </c>
    </row>
    <row r="3081" spans="12:12" x14ac:dyDescent="0.35">
      <c r="L3081" s="3">
        <f t="shared" si="50"/>
        <v>0</v>
      </c>
    </row>
    <row r="3082" spans="12:12" x14ac:dyDescent="0.35">
      <c r="L3082" s="3">
        <f t="shared" si="50"/>
        <v>0</v>
      </c>
    </row>
    <row r="3083" spans="12:12" x14ac:dyDescent="0.35">
      <c r="L3083" s="3">
        <f t="shared" si="50"/>
        <v>0</v>
      </c>
    </row>
    <row r="3084" spans="12:12" x14ac:dyDescent="0.35">
      <c r="L3084" s="3">
        <f t="shared" si="50"/>
        <v>0</v>
      </c>
    </row>
    <row r="3085" spans="12:12" x14ac:dyDescent="0.35">
      <c r="L3085" s="3">
        <f t="shared" si="50"/>
        <v>0</v>
      </c>
    </row>
    <row r="3086" spans="12:12" x14ac:dyDescent="0.35">
      <c r="L3086" s="3">
        <f t="shared" si="50"/>
        <v>0</v>
      </c>
    </row>
    <row r="3087" spans="12:12" x14ac:dyDescent="0.35">
      <c r="L3087" s="3">
        <f t="shared" si="50"/>
        <v>0</v>
      </c>
    </row>
    <row r="3088" spans="12:12" x14ac:dyDescent="0.35">
      <c r="L3088" s="3">
        <f t="shared" si="50"/>
        <v>0</v>
      </c>
    </row>
    <row r="3089" spans="12:12" x14ac:dyDescent="0.35">
      <c r="L3089" s="3">
        <f t="shared" si="50"/>
        <v>0</v>
      </c>
    </row>
    <row r="3090" spans="12:12" x14ac:dyDescent="0.35">
      <c r="L3090" s="3">
        <f t="shared" si="50"/>
        <v>0</v>
      </c>
    </row>
    <row r="3091" spans="12:12" x14ac:dyDescent="0.35">
      <c r="L3091" s="3">
        <f t="shared" si="50"/>
        <v>0</v>
      </c>
    </row>
    <row r="3092" spans="12:12" x14ac:dyDescent="0.35">
      <c r="L3092" s="3">
        <f t="shared" si="50"/>
        <v>0</v>
      </c>
    </row>
    <row r="3093" spans="12:12" x14ac:dyDescent="0.35">
      <c r="L3093" s="3">
        <f t="shared" si="50"/>
        <v>0</v>
      </c>
    </row>
    <row r="3094" spans="12:12" x14ac:dyDescent="0.35">
      <c r="L3094" s="3">
        <f t="shared" si="50"/>
        <v>0</v>
      </c>
    </row>
    <row r="3095" spans="12:12" x14ac:dyDescent="0.35">
      <c r="L3095" s="3">
        <f t="shared" si="50"/>
        <v>0</v>
      </c>
    </row>
    <row r="3096" spans="12:12" x14ac:dyDescent="0.35">
      <c r="L3096" s="3">
        <f t="shared" si="50"/>
        <v>0</v>
      </c>
    </row>
    <row r="3097" spans="12:12" x14ac:dyDescent="0.35">
      <c r="L3097" s="3">
        <f t="shared" si="50"/>
        <v>0</v>
      </c>
    </row>
    <row r="3098" spans="12:12" x14ac:dyDescent="0.35">
      <c r="L3098" s="3">
        <f t="shared" si="50"/>
        <v>0</v>
      </c>
    </row>
    <row r="3099" spans="12:12" x14ac:dyDescent="0.35">
      <c r="L3099" s="3">
        <f t="shared" si="50"/>
        <v>0</v>
      </c>
    </row>
    <row r="3100" spans="12:12" x14ac:dyDescent="0.35">
      <c r="L3100" s="3">
        <f t="shared" si="50"/>
        <v>0</v>
      </c>
    </row>
    <row r="3101" spans="12:12" x14ac:dyDescent="0.35">
      <c r="L3101" s="3">
        <f t="shared" si="50"/>
        <v>0</v>
      </c>
    </row>
    <row r="3102" spans="12:12" x14ac:dyDescent="0.35">
      <c r="L3102" s="3">
        <f t="shared" si="50"/>
        <v>0</v>
      </c>
    </row>
    <row r="3103" spans="12:12" x14ac:dyDescent="0.35">
      <c r="L3103" s="3">
        <f t="shared" si="50"/>
        <v>0</v>
      </c>
    </row>
    <row r="3104" spans="12:12" x14ac:dyDescent="0.35">
      <c r="L3104" s="3">
        <f t="shared" si="50"/>
        <v>0</v>
      </c>
    </row>
    <row r="3105" spans="12:12" x14ac:dyDescent="0.35">
      <c r="L3105" s="3">
        <f t="shared" si="50"/>
        <v>0</v>
      </c>
    </row>
    <row r="3106" spans="12:12" x14ac:dyDescent="0.35">
      <c r="L3106" s="3">
        <f t="shared" si="50"/>
        <v>0</v>
      </c>
    </row>
    <row r="3107" spans="12:12" x14ac:dyDescent="0.35">
      <c r="L3107" s="3">
        <f t="shared" si="50"/>
        <v>0</v>
      </c>
    </row>
    <row r="3108" spans="12:12" x14ac:dyDescent="0.35">
      <c r="L3108" s="3">
        <f t="shared" si="50"/>
        <v>0</v>
      </c>
    </row>
    <row r="3109" spans="12:12" x14ac:dyDescent="0.35">
      <c r="L3109" s="3">
        <f t="shared" si="50"/>
        <v>0</v>
      </c>
    </row>
    <row r="3110" spans="12:12" x14ac:dyDescent="0.35">
      <c r="L3110" s="3">
        <f t="shared" si="50"/>
        <v>0</v>
      </c>
    </row>
    <row r="3111" spans="12:12" x14ac:dyDescent="0.35">
      <c r="L3111" s="3">
        <f t="shared" si="50"/>
        <v>0</v>
      </c>
    </row>
    <row r="3112" spans="12:12" x14ac:dyDescent="0.35">
      <c r="L3112" s="3">
        <f t="shared" si="50"/>
        <v>0</v>
      </c>
    </row>
    <row r="3113" spans="12:12" x14ac:dyDescent="0.35">
      <c r="L3113" s="3">
        <f t="shared" si="50"/>
        <v>0</v>
      </c>
    </row>
    <row r="3114" spans="12:12" x14ac:dyDescent="0.35">
      <c r="L3114" s="3">
        <f t="shared" si="50"/>
        <v>0</v>
      </c>
    </row>
    <row r="3115" spans="12:12" x14ac:dyDescent="0.35">
      <c r="L3115" s="3">
        <f t="shared" si="50"/>
        <v>0</v>
      </c>
    </row>
    <row r="3116" spans="12:12" x14ac:dyDescent="0.35">
      <c r="L3116" s="3">
        <f t="shared" si="50"/>
        <v>0</v>
      </c>
    </row>
    <row r="3117" spans="12:12" x14ac:dyDescent="0.35">
      <c r="L3117" s="3">
        <f t="shared" si="50"/>
        <v>0</v>
      </c>
    </row>
    <row r="3118" spans="12:12" x14ac:dyDescent="0.35">
      <c r="L3118" s="3">
        <f t="shared" si="50"/>
        <v>0</v>
      </c>
    </row>
    <row r="3119" spans="12:12" x14ac:dyDescent="0.35">
      <c r="L3119" s="3">
        <f t="shared" si="50"/>
        <v>0</v>
      </c>
    </row>
    <row r="3120" spans="12:12" x14ac:dyDescent="0.35">
      <c r="L3120" s="3">
        <f t="shared" si="50"/>
        <v>0</v>
      </c>
    </row>
    <row r="3121" spans="12:12" x14ac:dyDescent="0.35">
      <c r="L3121" s="3">
        <f t="shared" si="50"/>
        <v>0</v>
      </c>
    </row>
    <row r="3122" spans="12:12" x14ac:dyDescent="0.35">
      <c r="L3122" s="3">
        <f t="shared" si="50"/>
        <v>0</v>
      </c>
    </row>
    <row r="3123" spans="12:12" x14ac:dyDescent="0.35">
      <c r="L3123" s="3">
        <f t="shared" si="50"/>
        <v>0</v>
      </c>
    </row>
    <row r="3124" spans="12:12" x14ac:dyDescent="0.35">
      <c r="L3124" s="3">
        <f t="shared" si="50"/>
        <v>0</v>
      </c>
    </row>
    <row r="3125" spans="12:12" x14ac:dyDescent="0.35">
      <c r="L3125" s="3">
        <f t="shared" si="50"/>
        <v>0</v>
      </c>
    </row>
    <row r="3126" spans="12:12" x14ac:dyDescent="0.35">
      <c r="L3126" s="3">
        <f t="shared" si="50"/>
        <v>0</v>
      </c>
    </row>
    <row r="3127" spans="12:12" x14ac:dyDescent="0.35">
      <c r="L3127" s="3">
        <f t="shared" si="50"/>
        <v>0</v>
      </c>
    </row>
    <row r="3128" spans="12:12" x14ac:dyDescent="0.35">
      <c r="L3128" s="3">
        <f t="shared" si="50"/>
        <v>0</v>
      </c>
    </row>
    <row r="3129" spans="12:12" x14ac:dyDescent="0.35">
      <c r="L3129" s="3">
        <f t="shared" si="50"/>
        <v>0</v>
      </c>
    </row>
    <row r="3130" spans="12:12" x14ac:dyDescent="0.35">
      <c r="L3130" s="3">
        <f t="shared" si="50"/>
        <v>0</v>
      </c>
    </row>
    <row r="3131" spans="12:12" x14ac:dyDescent="0.35">
      <c r="L3131" s="3">
        <f t="shared" ref="L3131:L3194" si="51">K3131*C3131</f>
        <v>0</v>
      </c>
    </row>
    <row r="3132" spans="12:12" x14ac:dyDescent="0.35">
      <c r="L3132" s="3">
        <f t="shared" si="51"/>
        <v>0</v>
      </c>
    </row>
    <row r="3133" spans="12:12" x14ac:dyDescent="0.35">
      <c r="L3133" s="3">
        <f t="shared" si="51"/>
        <v>0</v>
      </c>
    </row>
    <row r="3134" spans="12:12" x14ac:dyDescent="0.35">
      <c r="L3134" s="3">
        <f t="shared" si="51"/>
        <v>0</v>
      </c>
    </row>
    <row r="3135" spans="12:12" x14ac:dyDescent="0.35">
      <c r="L3135" s="3">
        <f t="shared" si="51"/>
        <v>0</v>
      </c>
    </row>
    <row r="3136" spans="12:12" x14ac:dyDescent="0.35">
      <c r="L3136" s="3">
        <f t="shared" si="51"/>
        <v>0</v>
      </c>
    </row>
    <row r="3137" spans="12:12" x14ac:dyDescent="0.35">
      <c r="L3137" s="3">
        <f t="shared" si="51"/>
        <v>0</v>
      </c>
    </row>
    <row r="3138" spans="12:12" x14ac:dyDescent="0.35">
      <c r="L3138" s="3">
        <f t="shared" si="51"/>
        <v>0</v>
      </c>
    </row>
    <row r="3139" spans="12:12" x14ac:dyDescent="0.35">
      <c r="L3139" s="3">
        <f t="shared" si="51"/>
        <v>0</v>
      </c>
    </row>
    <row r="3140" spans="12:12" x14ac:dyDescent="0.35">
      <c r="L3140" s="3">
        <f t="shared" si="51"/>
        <v>0</v>
      </c>
    </row>
    <row r="3141" spans="12:12" x14ac:dyDescent="0.35">
      <c r="L3141" s="3">
        <f t="shared" si="51"/>
        <v>0</v>
      </c>
    </row>
    <row r="3142" spans="12:12" x14ac:dyDescent="0.35">
      <c r="L3142" s="3">
        <f t="shared" si="51"/>
        <v>0</v>
      </c>
    </row>
    <row r="3143" spans="12:12" x14ac:dyDescent="0.35">
      <c r="L3143" s="3">
        <f t="shared" si="51"/>
        <v>0</v>
      </c>
    </row>
    <row r="3144" spans="12:12" x14ac:dyDescent="0.35">
      <c r="L3144" s="3">
        <f t="shared" si="51"/>
        <v>0</v>
      </c>
    </row>
    <row r="3145" spans="12:12" x14ac:dyDescent="0.35">
      <c r="L3145" s="3">
        <f t="shared" si="51"/>
        <v>0</v>
      </c>
    </row>
    <row r="3146" spans="12:12" x14ac:dyDescent="0.35">
      <c r="L3146" s="3">
        <f t="shared" si="51"/>
        <v>0</v>
      </c>
    </row>
    <row r="3147" spans="12:12" x14ac:dyDescent="0.35">
      <c r="L3147" s="3">
        <f t="shared" si="51"/>
        <v>0</v>
      </c>
    </row>
    <row r="3148" spans="12:12" x14ac:dyDescent="0.35">
      <c r="L3148" s="3">
        <f t="shared" si="51"/>
        <v>0</v>
      </c>
    </row>
    <row r="3149" spans="12:12" x14ac:dyDescent="0.35">
      <c r="L3149" s="3">
        <f t="shared" si="51"/>
        <v>0</v>
      </c>
    </row>
    <row r="3150" spans="12:12" x14ac:dyDescent="0.35">
      <c r="L3150" s="3">
        <f t="shared" si="51"/>
        <v>0</v>
      </c>
    </row>
    <row r="3151" spans="12:12" x14ac:dyDescent="0.35">
      <c r="L3151" s="3">
        <f t="shared" si="51"/>
        <v>0</v>
      </c>
    </row>
    <row r="3152" spans="12:12" x14ac:dyDescent="0.35">
      <c r="L3152" s="3">
        <f t="shared" si="51"/>
        <v>0</v>
      </c>
    </row>
    <row r="3153" spans="12:12" x14ac:dyDescent="0.35">
      <c r="L3153" s="3">
        <f t="shared" si="51"/>
        <v>0</v>
      </c>
    </row>
    <row r="3154" spans="12:12" x14ac:dyDescent="0.35">
      <c r="L3154" s="3">
        <f t="shared" si="51"/>
        <v>0</v>
      </c>
    </row>
    <row r="3155" spans="12:12" x14ac:dyDescent="0.35">
      <c r="L3155" s="3">
        <f t="shared" si="51"/>
        <v>0</v>
      </c>
    </row>
    <row r="3156" spans="12:12" x14ac:dyDescent="0.35">
      <c r="L3156" s="3">
        <f t="shared" si="51"/>
        <v>0</v>
      </c>
    </row>
    <row r="3157" spans="12:12" x14ac:dyDescent="0.35">
      <c r="L3157" s="3">
        <f t="shared" si="51"/>
        <v>0</v>
      </c>
    </row>
    <row r="3158" spans="12:12" x14ac:dyDescent="0.35">
      <c r="L3158" s="3">
        <f t="shared" si="51"/>
        <v>0</v>
      </c>
    </row>
    <row r="3159" spans="12:12" x14ac:dyDescent="0.35">
      <c r="L3159" s="3">
        <f t="shared" si="51"/>
        <v>0</v>
      </c>
    </row>
    <row r="3160" spans="12:12" x14ac:dyDescent="0.35">
      <c r="L3160" s="3">
        <f t="shared" si="51"/>
        <v>0</v>
      </c>
    </row>
    <row r="3161" spans="12:12" x14ac:dyDescent="0.35">
      <c r="L3161" s="3">
        <f t="shared" si="51"/>
        <v>0</v>
      </c>
    </row>
    <row r="3162" spans="12:12" x14ac:dyDescent="0.35">
      <c r="L3162" s="3">
        <f t="shared" si="51"/>
        <v>0</v>
      </c>
    </row>
    <row r="3163" spans="12:12" x14ac:dyDescent="0.35">
      <c r="L3163" s="3">
        <f t="shared" si="51"/>
        <v>0</v>
      </c>
    </row>
    <row r="3164" spans="12:12" x14ac:dyDescent="0.35">
      <c r="L3164" s="3">
        <f t="shared" si="51"/>
        <v>0</v>
      </c>
    </row>
    <row r="3165" spans="12:12" x14ac:dyDescent="0.35">
      <c r="L3165" s="3">
        <f t="shared" si="51"/>
        <v>0</v>
      </c>
    </row>
    <row r="3166" spans="12:12" x14ac:dyDescent="0.35">
      <c r="L3166" s="3">
        <f t="shared" si="51"/>
        <v>0</v>
      </c>
    </row>
    <row r="3167" spans="12:12" x14ac:dyDescent="0.35">
      <c r="L3167" s="3">
        <f t="shared" si="51"/>
        <v>0</v>
      </c>
    </row>
    <row r="3168" spans="12:12" x14ac:dyDescent="0.35">
      <c r="L3168" s="3">
        <f t="shared" si="51"/>
        <v>0</v>
      </c>
    </row>
    <row r="3169" spans="12:12" x14ac:dyDescent="0.35">
      <c r="L3169" s="3">
        <f t="shared" si="51"/>
        <v>0</v>
      </c>
    </row>
    <row r="3170" spans="12:12" x14ac:dyDescent="0.35">
      <c r="L3170" s="3">
        <f t="shared" si="51"/>
        <v>0</v>
      </c>
    </row>
    <row r="3171" spans="12:12" x14ac:dyDescent="0.35">
      <c r="L3171" s="3">
        <f t="shared" si="51"/>
        <v>0</v>
      </c>
    </row>
    <row r="3172" spans="12:12" x14ac:dyDescent="0.35">
      <c r="L3172" s="3">
        <f t="shared" si="51"/>
        <v>0</v>
      </c>
    </row>
    <row r="3173" spans="12:12" x14ac:dyDescent="0.35">
      <c r="L3173" s="3">
        <f t="shared" si="51"/>
        <v>0</v>
      </c>
    </row>
    <row r="3174" spans="12:12" x14ac:dyDescent="0.35">
      <c r="L3174" s="3">
        <f t="shared" si="51"/>
        <v>0</v>
      </c>
    </row>
    <row r="3175" spans="12:12" x14ac:dyDescent="0.35">
      <c r="L3175" s="3">
        <f t="shared" si="51"/>
        <v>0</v>
      </c>
    </row>
    <row r="3176" spans="12:12" x14ac:dyDescent="0.35">
      <c r="L3176" s="3">
        <f t="shared" si="51"/>
        <v>0</v>
      </c>
    </row>
    <row r="3177" spans="12:12" x14ac:dyDescent="0.35">
      <c r="L3177" s="3">
        <f t="shared" si="51"/>
        <v>0</v>
      </c>
    </row>
    <row r="3178" spans="12:12" x14ac:dyDescent="0.35">
      <c r="L3178" s="3">
        <f t="shared" si="51"/>
        <v>0</v>
      </c>
    </row>
    <row r="3179" spans="12:12" x14ac:dyDescent="0.35">
      <c r="L3179" s="3">
        <f t="shared" si="51"/>
        <v>0</v>
      </c>
    </row>
    <row r="3180" spans="12:12" x14ac:dyDescent="0.35">
      <c r="L3180" s="3">
        <f t="shared" si="51"/>
        <v>0</v>
      </c>
    </row>
    <row r="3181" spans="12:12" x14ac:dyDescent="0.35">
      <c r="L3181" s="3">
        <f t="shared" si="51"/>
        <v>0</v>
      </c>
    </row>
    <row r="3182" spans="12:12" x14ac:dyDescent="0.35">
      <c r="L3182" s="3">
        <f t="shared" si="51"/>
        <v>0</v>
      </c>
    </row>
    <row r="3183" spans="12:12" x14ac:dyDescent="0.35">
      <c r="L3183" s="3">
        <f t="shared" si="51"/>
        <v>0</v>
      </c>
    </row>
    <row r="3184" spans="12:12" x14ac:dyDescent="0.35">
      <c r="L3184" s="3">
        <f t="shared" si="51"/>
        <v>0</v>
      </c>
    </row>
    <row r="3185" spans="12:12" x14ac:dyDescent="0.35">
      <c r="L3185" s="3">
        <f t="shared" si="51"/>
        <v>0</v>
      </c>
    </row>
    <row r="3186" spans="12:12" x14ac:dyDescent="0.35">
      <c r="L3186" s="3">
        <f t="shared" si="51"/>
        <v>0</v>
      </c>
    </row>
    <row r="3187" spans="12:12" x14ac:dyDescent="0.35">
      <c r="L3187" s="3">
        <f t="shared" si="51"/>
        <v>0</v>
      </c>
    </row>
    <row r="3188" spans="12:12" x14ac:dyDescent="0.35">
      <c r="L3188" s="3">
        <f t="shared" si="51"/>
        <v>0</v>
      </c>
    </row>
    <row r="3189" spans="12:12" x14ac:dyDescent="0.35">
      <c r="L3189" s="3">
        <f t="shared" si="51"/>
        <v>0</v>
      </c>
    </row>
    <row r="3190" spans="12:12" x14ac:dyDescent="0.35">
      <c r="L3190" s="3">
        <f t="shared" si="51"/>
        <v>0</v>
      </c>
    </row>
    <row r="3191" spans="12:12" x14ac:dyDescent="0.35">
      <c r="L3191" s="3">
        <f t="shared" si="51"/>
        <v>0</v>
      </c>
    </row>
    <row r="3192" spans="12:12" x14ac:dyDescent="0.35">
      <c r="L3192" s="3">
        <f t="shared" si="51"/>
        <v>0</v>
      </c>
    </row>
    <row r="3193" spans="12:12" x14ac:dyDescent="0.35">
      <c r="L3193" s="3">
        <f t="shared" si="51"/>
        <v>0</v>
      </c>
    </row>
    <row r="3194" spans="12:12" x14ac:dyDescent="0.35">
      <c r="L3194" s="3">
        <f t="shared" si="51"/>
        <v>0</v>
      </c>
    </row>
    <row r="3195" spans="12:12" x14ac:dyDescent="0.35">
      <c r="L3195" s="3">
        <f t="shared" ref="L3195:L3258" si="52">K3195*C3195</f>
        <v>0</v>
      </c>
    </row>
    <row r="3196" spans="12:12" x14ac:dyDescent="0.35">
      <c r="L3196" s="3">
        <f t="shared" si="52"/>
        <v>0</v>
      </c>
    </row>
    <row r="3197" spans="12:12" x14ac:dyDescent="0.35">
      <c r="L3197" s="3">
        <f t="shared" si="52"/>
        <v>0</v>
      </c>
    </row>
    <row r="3198" spans="12:12" x14ac:dyDescent="0.35">
      <c r="L3198" s="3">
        <f t="shared" si="52"/>
        <v>0</v>
      </c>
    </row>
    <row r="3199" spans="12:12" x14ac:dyDescent="0.35">
      <c r="L3199" s="3">
        <f t="shared" si="52"/>
        <v>0</v>
      </c>
    </row>
    <row r="3200" spans="12:12" x14ac:dyDescent="0.35">
      <c r="L3200" s="3">
        <f t="shared" si="52"/>
        <v>0</v>
      </c>
    </row>
    <row r="3201" spans="12:12" x14ac:dyDescent="0.35">
      <c r="L3201" s="3">
        <f t="shared" si="52"/>
        <v>0</v>
      </c>
    </row>
    <row r="3202" spans="12:12" x14ac:dyDescent="0.35">
      <c r="L3202" s="3">
        <f t="shared" si="52"/>
        <v>0</v>
      </c>
    </row>
    <row r="3203" spans="12:12" x14ac:dyDescent="0.35">
      <c r="L3203" s="3">
        <f t="shared" si="52"/>
        <v>0</v>
      </c>
    </row>
    <row r="3204" spans="12:12" x14ac:dyDescent="0.35">
      <c r="L3204" s="3">
        <f t="shared" si="52"/>
        <v>0</v>
      </c>
    </row>
    <row r="3205" spans="12:12" x14ac:dyDescent="0.35">
      <c r="L3205" s="3">
        <f t="shared" si="52"/>
        <v>0</v>
      </c>
    </row>
    <row r="3206" spans="12:12" x14ac:dyDescent="0.35">
      <c r="L3206" s="3">
        <f t="shared" si="52"/>
        <v>0</v>
      </c>
    </row>
    <row r="3207" spans="12:12" x14ac:dyDescent="0.35">
      <c r="L3207" s="3">
        <f t="shared" si="52"/>
        <v>0</v>
      </c>
    </row>
    <row r="3208" spans="12:12" x14ac:dyDescent="0.35">
      <c r="L3208" s="3">
        <f t="shared" si="52"/>
        <v>0</v>
      </c>
    </row>
    <row r="3209" spans="12:12" x14ac:dyDescent="0.35">
      <c r="L3209" s="3">
        <f t="shared" si="52"/>
        <v>0</v>
      </c>
    </row>
    <row r="3210" spans="12:12" x14ac:dyDescent="0.35">
      <c r="L3210" s="3">
        <f t="shared" si="52"/>
        <v>0</v>
      </c>
    </row>
    <row r="3211" spans="12:12" x14ac:dyDescent="0.35">
      <c r="L3211" s="3">
        <f t="shared" si="52"/>
        <v>0</v>
      </c>
    </row>
    <row r="3212" spans="12:12" x14ac:dyDescent="0.35">
      <c r="L3212" s="3">
        <f t="shared" si="52"/>
        <v>0</v>
      </c>
    </row>
    <row r="3213" spans="12:12" x14ac:dyDescent="0.35">
      <c r="L3213" s="3">
        <f t="shared" si="52"/>
        <v>0</v>
      </c>
    </row>
    <row r="3214" spans="12:12" x14ac:dyDescent="0.35">
      <c r="L3214" s="3">
        <f t="shared" si="52"/>
        <v>0</v>
      </c>
    </row>
    <row r="3215" spans="12:12" x14ac:dyDescent="0.35">
      <c r="L3215" s="3">
        <f t="shared" si="52"/>
        <v>0</v>
      </c>
    </row>
    <row r="3216" spans="12:12" x14ac:dyDescent="0.35">
      <c r="L3216" s="3">
        <f t="shared" si="52"/>
        <v>0</v>
      </c>
    </row>
    <row r="3217" spans="12:12" x14ac:dyDescent="0.35">
      <c r="L3217" s="3">
        <f t="shared" si="52"/>
        <v>0</v>
      </c>
    </row>
    <row r="3218" spans="12:12" x14ac:dyDescent="0.35">
      <c r="L3218" s="3">
        <f t="shared" si="52"/>
        <v>0</v>
      </c>
    </row>
    <row r="3219" spans="12:12" x14ac:dyDescent="0.35">
      <c r="L3219" s="3">
        <f t="shared" si="52"/>
        <v>0</v>
      </c>
    </row>
    <row r="3220" spans="12:12" x14ac:dyDescent="0.35">
      <c r="L3220" s="3">
        <f t="shared" si="52"/>
        <v>0</v>
      </c>
    </row>
    <row r="3221" spans="12:12" x14ac:dyDescent="0.35">
      <c r="L3221" s="3">
        <f t="shared" si="52"/>
        <v>0</v>
      </c>
    </row>
    <row r="3222" spans="12:12" x14ac:dyDescent="0.35">
      <c r="L3222" s="3">
        <f t="shared" si="52"/>
        <v>0</v>
      </c>
    </row>
    <row r="3223" spans="12:12" x14ac:dyDescent="0.35">
      <c r="L3223" s="3">
        <f t="shared" si="52"/>
        <v>0</v>
      </c>
    </row>
    <row r="3224" spans="12:12" x14ac:dyDescent="0.35">
      <c r="L3224" s="3">
        <f t="shared" si="52"/>
        <v>0</v>
      </c>
    </row>
    <row r="3225" spans="12:12" x14ac:dyDescent="0.35">
      <c r="L3225" s="3">
        <f t="shared" si="52"/>
        <v>0</v>
      </c>
    </row>
    <row r="3226" spans="12:12" x14ac:dyDescent="0.35">
      <c r="L3226" s="3">
        <f t="shared" si="52"/>
        <v>0</v>
      </c>
    </row>
    <row r="3227" spans="12:12" x14ac:dyDescent="0.35">
      <c r="L3227" s="3">
        <f t="shared" si="52"/>
        <v>0</v>
      </c>
    </row>
    <row r="3228" spans="12:12" x14ac:dyDescent="0.35">
      <c r="L3228" s="3">
        <f t="shared" si="52"/>
        <v>0</v>
      </c>
    </row>
    <row r="3229" spans="12:12" x14ac:dyDescent="0.35">
      <c r="L3229" s="3">
        <f t="shared" si="52"/>
        <v>0</v>
      </c>
    </row>
    <row r="3230" spans="12:12" x14ac:dyDescent="0.35">
      <c r="L3230" s="3">
        <f t="shared" si="52"/>
        <v>0</v>
      </c>
    </row>
    <row r="3231" spans="12:12" x14ac:dyDescent="0.35">
      <c r="L3231" s="3">
        <f t="shared" si="52"/>
        <v>0</v>
      </c>
    </row>
    <row r="3232" spans="12:12" x14ac:dyDescent="0.35">
      <c r="L3232" s="3">
        <f t="shared" si="52"/>
        <v>0</v>
      </c>
    </row>
    <row r="3233" spans="12:12" x14ac:dyDescent="0.35">
      <c r="L3233" s="3">
        <f t="shared" si="52"/>
        <v>0</v>
      </c>
    </row>
    <row r="3234" spans="12:12" x14ac:dyDescent="0.35">
      <c r="L3234" s="3">
        <f t="shared" si="52"/>
        <v>0</v>
      </c>
    </row>
    <row r="3235" spans="12:12" x14ac:dyDescent="0.35">
      <c r="L3235" s="3">
        <f t="shared" si="52"/>
        <v>0</v>
      </c>
    </row>
    <row r="3236" spans="12:12" x14ac:dyDescent="0.35">
      <c r="L3236" s="3">
        <f t="shared" si="52"/>
        <v>0</v>
      </c>
    </row>
    <row r="3237" spans="12:12" x14ac:dyDescent="0.35">
      <c r="L3237" s="3">
        <f t="shared" si="52"/>
        <v>0</v>
      </c>
    </row>
    <row r="3238" spans="12:12" x14ac:dyDescent="0.35">
      <c r="L3238" s="3">
        <f t="shared" si="52"/>
        <v>0</v>
      </c>
    </row>
    <row r="3239" spans="12:12" x14ac:dyDescent="0.35">
      <c r="L3239" s="3">
        <f t="shared" si="52"/>
        <v>0</v>
      </c>
    </row>
    <row r="3240" spans="12:12" x14ac:dyDescent="0.35">
      <c r="L3240" s="3">
        <f t="shared" si="52"/>
        <v>0</v>
      </c>
    </row>
    <row r="3241" spans="12:12" x14ac:dyDescent="0.35">
      <c r="L3241" s="3">
        <f t="shared" si="52"/>
        <v>0</v>
      </c>
    </row>
    <row r="3242" spans="12:12" x14ac:dyDescent="0.35">
      <c r="L3242" s="3">
        <f t="shared" si="52"/>
        <v>0</v>
      </c>
    </row>
    <row r="3243" spans="12:12" x14ac:dyDescent="0.35">
      <c r="L3243" s="3">
        <f t="shared" si="52"/>
        <v>0</v>
      </c>
    </row>
    <row r="3244" spans="12:12" x14ac:dyDescent="0.35">
      <c r="L3244" s="3">
        <f t="shared" si="52"/>
        <v>0</v>
      </c>
    </row>
    <row r="3245" spans="12:12" x14ac:dyDescent="0.35">
      <c r="L3245" s="3">
        <f t="shared" si="52"/>
        <v>0</v>
      </c>
    </row>
    <row r="3246" spans="12:12" x14ac:dyDescent="0.35">
      <c r="L3246" s="3">
        <f t="shared" si="52"/>
        <v>0</v>
      </c>
    </row>
    <row r="3247" spans="12:12" x14ac:dyDescent="0.35">
      <c r="L3247" s="3">
        <f t="shared" si="52"/>
        <v>0</v>
      </c>
    </row>
    <row r="3248" spans="12:12" x14ac:dyDescent="0.35">
      <c r="L3248" s="3">
        <f t="shared" si="52"/>
        <v>0</v>
      </c>
    </row>
    <row r="3249" spans="12:12" x14ac:dyDescent="0.35">
      <c r="L3249" s="3">
        <f t="shared" si="52"/>
        <v>0</v>
      </c>
    </row>
    <row r="3250" spans="12:12" x14ac:dyDescent="0.35">
      <c r="L3250" s="3">
        <f t="shared" si="52"/>
        <v>0</v>
      </c>
    </row>
    <row r="3251" spans="12:12" x14ac:dyDescent="0.35">
      <c r="L3251" s="3">
        <f t="shared" si="52"/>
        <v>0</v>
      </c>
    </row>
    <row r="3252" spans="12:12" x14ac:dyDescent="0.35">
      <c r="L3252" s="3">
        <f t="shared" si="52"/>
        <v>0</v>
      </c>
    </row>
    <row r="3253" spans="12:12" x14ac:dyDescent="0.35">
      <c r="L3253" s="3">
        <f t="shared" si="52"/>
        <v>0</v>
      </c>
    </row>
    <row r="3254" spans="12:12" x14ac:dyDescent="0.35">
      <c r="L3254" s="3">
        <f t="shared" si="52"/>
        <v>0</v>
      </c>
    </row>
    <row r="3255" spans="12:12" x14ac:dyDescent="0.35">
      <c r="L3255" s="3">
        <f t="shared" si="52"/>
        <v>0</v>
      </c>
    </row>
    <row r="3256" spans="12:12" x14ac:dyDescent="0.35">
      <c r="L3256" s="3">
        <f t="shared" si="52"/>
        <v>0</v>
      </c>
    </row>
    <row r="3257" spans="12:12" x14ac:dyDescent="0.35">
      <c r="L3257" s="3">
        <f t="shared" si="52"/>
        <v>0</v>
      </c>
    </row>
    <row r="3258" spans="12:12" x14ac:dyDescent="0.35">
      <c r="L3258" s="3">
        <f t="shared" si="52"/>
        <v>0</v>
      </c>
    </row>
    <row r="3259" spans="12:12" x14ac:dyDescent="0.35">
      <c r="L3259" s="3">
        <f t="shared" ref="L3259:L3322" si="53">K3259*C3259</f>
        <v>0</v>
      </c>
    </row>
    <row r="3260" spans="12:12" x14ac:dyDescent="0.35">
      <c r="L3260" s="3">
        <f t="shared" si="53"/>
        <v>0</v>
      </c>
    </row>
    <row r="3261" spans="12:12" x14ac:dyDescent="0.35">
      <c r="L3261" s="3">
        <f t="shared" si="53"/>
        <v>0</v>
      </c>
    </row>
    <row r="3262" spans="12:12" x14ac:dyDescent="0.35">
      <c r="L3262" s="3">
        <f t="shared" si="53"/>
        <v>0</v>
      </c>
    </row>
    <row r="3263" spans="12:12" x14ac:dyDescent="0.35">
      <c r="L3263" s="3">
        <f t="shared" si="53"/>
        <v>0</v>
      </c>
    </row>
    <row r="3264" spans="12:12" x14ac:dyDescent="0.35">
      <c r="L3264" s="3">
        <f t="shared" si="53"/>
        <v>0</v>
      </c>
    </row>
    <row r="3265" spans="12:12" x14ac:dyDescent="0.35">
      <c r="L3265" s="3">
        <f t="shared" si="53"/>
        <v>0</v>
      </c>
    </row>
    <row r="3266" spans="12:12" x14ac:dyDescent="0.35">
      <c r="L3266" s="3">
        <f t="shared" si="53"/>
        <v>0</v>
      </c>
    </row>
    <row r="3267" spans="12:12" x14ac:dyDescent="0.35">
      <c r="L3267" s="3">
        <f t="shared" si="53"/>
        <v>0</v>
      </c>
    </row>
    <row r="3268" spans="12:12" x14ac:dyDescent="0.35">
      <c r="L3268" s="3">
        <f t="shared" si="53"/>
        <v>0</v>
      </c>
    </row>
    <row r="3269" spans="12:12" x14ac:dyDescent="0.35">
      <c r="L3269" s="3">
        <f t="shared" si="53"/>
        <v>0</v>
      </c>
    </row>
    <row r="3270" spans="12:12" x14ac:dyDescent="0.35">
      <c r="L3270" s="3">
        <f t="shared" si="53"/>
        <v>0</v>
      </c>
    </row>
    <row r="3271" spans="12:12" x14ac:dyDescent="0.35">
      <c r="L3271" s="3">
        <f t="shared" si="53"/>
        <v>0</v>
      </c>
    </row>
    <row r="3272" spans="12:12" x14ac:dyDescent="0.35">
      <c r="L3272" s="3">
        <f t="shared" si="53"/>
        <v>0</v>
      </c>
    </row>
    <row r="3273" spans="12:12" x14ac:dyDescent="0.35">
      <c r="L3273" s="3">
        <f t="shared" si="53"/>
        <v>0</v>
      </c>
    </row>
    <row r="3274" spans="12:12" x14ac:dyDescent="0.35">
      <c r="L3274" s="3">
        <f t="shared" si="53"/>
        <v>0</v>
      </c>
    </row>
    <row r="3275" spans="12:12" x14ac:dyDescent="0.35">
      <c r="L3275" s="3">
        <f t="shared" si="53"/>
        <v>0</v>
      </c>
    </row>
    <row r="3276" spans="12:12" x14ac:dyDescent="0.35">
      <c r="L3276" s="3">
        <f t="shared" si="53"/>
        <v>0</v>
      </c>
    </row>
    <row r="3277" spans="12:12" x14ac:dyDescent="0.35">
      <c r="L3277" s="3">
        <f t="shared" si="53"/>
        <v>0</v>
      </c>
    </row>
    <row r="3278" spans="12:12" x14ac:dyDescent="0.35">
      <c r="L3278" s="3">
        <f t="shared" si="53"/>
        <v>0</v>
      </c>
    </row>
    <row r="3279" spans="12:12" x14ac:dyDescent="0.35">
      <c r="L3279" s="3">
        <f t="shared" si="53"/>
        <v>0</v>
      </c>
    </row>
    <row r="3280" spans="12:12" x14ac:dyDescent="0.35">
      <c r="L3280" s="3">
        <f t="shared" si="53"/>
        <v>0</v>
      </c>
    </row>
    <row r="3281" spans="12:12" x14ac:dyDescent="0.35">
      <c r="L3281" s="3">
        <f t="shared" si="53"/>
        <v>0</v>
      </c>
    </row>
    <row r="3282" spans="12:12" x14ac:dyDescent="0.35">
      <c r="L3282" s="3">
        <f t="shared" si="53"/>
        <v>0</v>
      </c>
    </row>
    <row r="3283" spans="12:12" x14ac:dyDescent="0.35">
      <c r="L3283" s="3">
        <f t="shared" si="53"/>
        <v>0</v>
      </c>
    </row>
    <row r="3284" spans="12:12" x14ac:dyDescent="0.35">
      <c r="L3284" s="3">
        <f t="shared" si="53"/>
        <v>0</v>
      </c>
    </row>
    <row r="3285" spans="12:12" x14ac:dyDescent="0.35">
      <c r="L3285" s="3">
        <f t="shared" si="53"/>
        <v>0</v>
      </c>
    </row>
    <row r="3286" spans="12:12" x14ac:dyDescent="0.35">
      <c r="L3286" s="3">
        <f t="shared" si="53"/>
        <v>0</v>
      </c>
    </row>
    <row r="3287" spans="12:12" x14ac:dyDescent="0.35">
      <c r="L3287" s="3">
        <f t="shared" si="53"/>
        <v>0</v>
      </c>
    </row>
    <row r="3288" spans="12:12" x14ac:dyDescent="0.35">
      <c r="L3288" s="3">
        <f t="shared" si="53"/>
        <v>0</v>
      </c>
    </row>
    <row r="3289" spans="12:12" x14ac:dyDescent="0.35">
      <c r="L3289" s="3">
        <f t="shared" si="53"/>
        <v>0</v>
      </c>
    </row>
    <row r="3290" spans="12:12" x14ac:dyDescent="0.35">
      <c r="L3290" s="3">
        <f t="shared" si="53"/>
        <v>0</v>
      </c>
    </row>
    <row r="3291" spans="12:12" x14ac:dyDescent="0.35">
      <c r="L3291" s="3">
        <f t="shared" si="53"/>
        <v>0</v>
      </c>
    </row>
    <row r="3292" spans="12:12" x14ac:dyDescent="0.35">
      <c r="L3292" s="3">
        <f t="shared" si="53"/>
        <v>0</v>
      </c>
    </row>
    <row r="3293" spans="12:12" x14ac:dyDescent="0.35">
      <c r="L3293" s="3">
        <f t="shared" si="53"/>
        <v>0</v>
      </c>
    </row>
    <row r="3294" spans="12:12" x14ac:dyDescent="0.35">
      <c r="L3294" s="3">
        <f t="shared" si="53"/>
        <v>0</v>
      </c>
    </row>
    <row r="3295" spans="12:12" x14ac:dyDescent="0.35">
      <c r="L3295" s="3">
        <f t="shared" si="53"/>
        <v>0</v>
      </c>
    </row>
    <row r="3296" spans="12:12" x14ac:dyDescent="0.35">
      <c r="L3296" s="3">
        <f t="shared" si="53"/>
        <v>0</v>
      </c>
    </row>
    <row r="3297" spans="12:12" x14ac:dyDescent="0.35">
      <c r="L3297" s="3">
        <f t="shared" si="53"/>
        <v>0</v>
      </c>
    </row>
    <row r="3298" spans="12:12" x14ac:dyDescent="0.35">
      <c r="L3298" s="3">
        <f t="shared" si="53"/>
        <v>0</v>
      </c>
    </row>
    <row r="3299" spans="12:12" x14ac:dyDescent="0.35">
      <c r="L3299" s="3">
        <f t="shared" si="53"/>
        <v>0</v>
      </c>
    </row>
    <row r="3300" spans="12:12" x14ac:dyDescent="0.35">
      <c r="L3300" s="3">
        <f t="shared" si="53"/>
        <v>0</v>
      </c>
    </row>
    <row r="3301" spans="12:12" x14ac:dyDescent="0.35">
      <c r="L3301" s="3">
        <f t="shared" si="53"/>
        <v>0</v>
      </c>
    </row>
    <row r="3302" spans="12:12" x14ac:dyDescent="0.35">
      <c r="L3302" s="3">
        <f t="shared" si="53"/>
        <v>0</v>
      </c>
    </row>
    <row r="3303" spans="12:12" x14ac:dyDescent="0.35">
      <c r="L3303" s="3">
        <f t="shared" si="53"/>
        <v>0</v>
      </c>
    </row>
    <row r="3304" spans="12:12" x14ac:dyDescent="0.35">
      <c r="L3304" s="3">
        <f t="shared" si="53"/>
        <v>0</v>
      </c>
    </row>
    <row r="3305" spans="12:12" x14ac:dyDescent="0.35">
      <c r="L3305" s="3">
        <f t="shared" si="53"/>
        <v>0</v>
      </c>
    </row>
    <row r="3306" spans="12:12" x14ac:dyDescent="0.35">
      <c r="L3306" s="3">
        <f t="shared" si="53"/>
        <v>0</v>
      </c>
    </row>
    <row r="3307" spans="12:12" x14ac:dyDescent="0.35">
      <c r="L3307" s="3">
        <f t="shared" si="53"/>
        <v>0</v>
      </c>
    </row>
    <row r="3308" spans="12:12" x14ac:dyDescent="0.35">
      <c r="L3308" s="3">
        <f t="shared" si="53"/>
        <v>0</v>
      </c>
    </row>
    <row r="3309" spans="12:12" x14ac:dyDescent="0.35">
      <c r="L3309" s="3">
        <f t="shared" si="53"/>
        <v>0</v>
      </c>
    </row>
    <row r="3310" spans="12:12" x14ac:dyDescent="0.35">
      <c r="L3310" s="3">
        <f t="shared" si="53"/>
        <v>0</v>
      </c>
    </row>
    <row r="3311" spans="12:12" x14ac:dyDescent="0.35">
      <c r="L3311" s="3">
        <f t="shared" si="53"/>
        <v>0</v>
      </c>
    </row>
    <row r="3312" spans="12:12" x14ac:dyDescent="0.35">
      <c r="L3312" s="3">
        <f t="shared" si="53"/>
        <v>0</v>
      </c>
    </row>
    <row r="3313" spans="12:12" x14ac:dyDescent="0.35">
      <c r="L3313" s="3">
        <f t="shared" si="53"/>
        <v>0</v>
      </c>
    </row>
    <row r="3314" spans="12:12" x14ac:dyDescent="0.35">
      <c r="L3314" s="3">
        <f t="shared" si="53"/>
        <v>0</v>
      </c>
    </row>
    <row r="3315" spans="12:12" x14ac:dyDescent="0.35">
      <c r="L3315" s="3">
        <f t="shared" si="53"/>
        <v>0</v>
      </c>
    </row>
    <row r="3316" spans="12:12" x14ac:dyDescent="0.35">
      <c r="L3316" s="3">
        <f t="shared" si="53"/>
        <v>0</v>
      </c>
    </row>
    <row r="3317" spans="12:12" x14ac:dyDescent="0.35">
      <c r="L3317" s="3">
        <f t="shared" si="53"/>
        <v>0</v>
      </c>
    </row>
    <row r="3318" spans="12:12" x14ac:dyDescent="0.35">
      <c r="L3318" s="3">
        <f t="shared" si="53"/>
        <v>0</v>
      </c>
    </row>
    <row r="3319" spans="12:12" x14ac:dyDescent="0.35">
      <c r="L3319" s="3">
        <f t="shared" si="53"/>
        <v>0</v>
      </c>
    </row>
    <row r="3320" spans="12:12" x14ac:dyDescent="0.35">
      <c r="L3320" s="3">
        <f t="shared" si="53"/>
        <v>0</v>
      </c>
    </row>
    <row r="3321" spans="12:12" x14ac:dyDescent="0.35">
      <c r="L3321" s="3">
        <f t="shared" si="53"/>
        <v>0</v>
      </c>
    </row>
    <row r="3322" spans="12:12" x14ac:dyDescent="0.35">
      <c r="L3322" s="3">
        <f t="shared" si="53"/>
        <v>0</v>
      </c>
    </row>
    <row r="3323" spans="12:12" x14ac:dyDescent="0.35">
      <c r="L3323" s="3">
        <f t="shared" ref="L3323:L3386" si="54">K3323*C3323</f>
        <v>0</v>
      </c>
    </row>
    <row r="3324" spans="12:12" x14ac:dyDescent="0.35">
      <c r="L3324" s="3">
        <f t="shared" si="54"/>
        <v>0</v>
      </c>
    </row>
    <row r="3325" spans="12:12" x14ac:dyDescent="0.35">
      <c r="L3325" s="3">
        <f t="shared" si="54"/>
        <v>0</v>
      </c>
    </row>
    <row r="3326" spans="12:12" x14ac:dyDescent="0.35">
      <c r="L3326" s="3">
        <f t="shared" si="54"/>
        <v>0</v>
      </c>
    </row>
    <row r="3327" spans="12:12" x14ac:dyDescent="0.35">
      <c r="L3327" s="3">
        <f t="shared" si="54"/>
        <v>0</v>
      </c>
    </row>
    <row r="3328" spans="12:12" x14ac:dyDescent="0.35">
      <c r="L3328" s="3">
        <f t="shared" si="54"/>
        <v>0</v>
      </c>
    </row>
    <row r="3329" spans="12:12" x14ac:dyDescent="0.35">
      <c r="L3329" s="3">
        <f t="shared" si="54"/>
        <v>0</v>
      </c>
    </row>
    <row r="3330" spans="12:12" x14ac:dyDescent="0.35">
      <c r="L3330" s="3">
        <f t="shared" si="54"/>
        <v>0</v>
      </c>
    </row>
    <row r="3331" spans="12:12" x14ac:dyDescent="0.35">
      <c r="L3331" s="3">
        <f t="shared" si="54"/>
        <v>0</v>
      </c>
    </row>
    <row r="3332" spans="12:12" x14ac:dyDescent="0.35">
      <c r="L3332" s="3">
        <f t="shared" si="54"/>
        <v>0</v>
      </c>
    </row>
    <row r="3333" spans="12:12" x14ac:dyDescent="0.35">
      <c r="L3333" s="3">
        <f t="shared" si="54"/>
        <v>0</v>
      </c>
    </row>
    <row r="3334" spans="12:12" x14ac:dyDescent="0.35">
      <c r="L3334" s="3">
        <f t="shared" si="54"/>
        <v>0</v>
      </c>
    </row>
    <row r="3335" spans="12:12" x14ac:dyDescent="0.35">
      <c r="L3335" s="3">
        <f t="shared" si="54"/>
        <v>0</v>
      </c>
    </row>
    <row r="3336" spans="12:12" x14ac:dyDescent="0.35">
      <c r="L3336" s="3">
        <f t="shared" si="54"/>
        <v>0</v>
      </c>
    </row>
    <row r="3337" spans="12:12" x14ac:dyDescent="0.35">
      <c r="L3337" s="3">
        <f t="shared" si="54"/>
        <v>0</v>
      </c>
    </row>
    <row r="3338" spans="12:12" x14ac:dyDescent="0.35">
      <c r="L3338" s="3">
        <f t="shared" si="54"/>
        <v>0</v>
      </c>
    </row>
    <row r="3339" spans="12:12" x14ac:dyDescent="0.35">
      <c r="L3339" s="3">
        <f t="shared" si="54"/>
        <v>0</v>
      </c>
    </row>
    <row r="3340" spans="12:12" x14ac:dyDescent="0.35">
      <c r="L3340" s="3">
        <f t="shared" si="54"/>
        <v>0</v>
      </c>
    </row>
    <row r="3341" spans="12:12" x14ac:dyDescent="0.35">
      <c r="L3341" s="3">
        <f t="shared" si="54"/>
        <v>0</v>
      </c>
    </row>
    <row r="3342" spans="12:12" x14ac:dyDescent="0.35">
      <c r="L3342" s="3">
        <f t="shared" si="54"/>
        <v>0</v>
      </c>
    </row>
    <row r="3343" spans="12:12" x14ac:dyDescent="0.35">
      <c r="L3343" s="3">
        <f t="shared" si="54"/>
        <v>0</v>
      </c>
    </row>
    <row r="3344" spans="12:12" x14ac:dyDescent="0.35">
      <c r="L3344" s="3">
        <f t="shared" si="54"/>
        <v>0</v>
      </c>
    </row>
    <row r="3345" spans="12:12" x14ac:dyDescent="0.35">
      <c r="L3345" s="3">
        <f t="shared" si="54"/>
        <v>0</v>
      </c>
    </row>
    <row r="3346" spans="12:12" x14ac:dyDescent="0.35">
      <c r="L3346" s="3">
        <f t="shared" si="54"/>
        <v>0</v>
      </c>
    </row>
    <row r="3347" spans="12:12" x14ac:dyDescent="0.35">
      <c r="L3347" s="3">
        <f t="shared" si="54"/>
        <v>0</v>
      </c>
    </row>
    <row r="3348" spans="12:12" x14ac:dyDescent="0.35">
      <c r="L3348" s="3">
        <f t="shared" si="54"/>
        <v>0</v>
      </c>
    </row>
    <row r="3349" spans="12:12" x14ac:dyDescent="0.35">
      <c r="L3349" s="3">
        <f t="shared" si="54"/>
        <v>0</v>
      </c>
    </row>
    <row r="3350" spans="12:12" x14ac:dyDescent="0.35">
      <c r="L3350" s="3">
        <f t="shared" si="54"/>
        <v>0</v>
      </c>
    </row>
    <row r="3351" spans="12:12" x14ac:dyDescent="0.35">
      <c r="L3351" s="3">
        <f t="shared" si="54"/>
        <v>0</v>
      </c>
    </row>
    <row r="3352" spans="12:12" x14ac:dyDescent="0.35">
      <c r="L3352" s="3">
        <f t="shared" si="54"/>
        <v>0</v>
      </c>
    </row>
    <row r="3353" spans="12:12" x14ac:dyDescent="0.35">
      <c r="L3353" s="3">
        <f t="shared" si="54"/>
        <v>0</v>
      </c>
    </row>
    <row r="3354" spans="12:12" x14ac:dyDescent="0.35">
      <c r="L3354" s="3">
        <f t="shared" si="54"/>
        <v>0</v>
      </c>
    </row>
    <row r="3355" spans="12:12" x14ac:dyDescent="0.35">
      <c r="L3355" s="3">
        <f t="shared" si="54"/>
        <v>0</v>
      </c>
    </row>
    <row r="3356" spans="12:12" x14ac:dyDescent="0.35">
      <c r="L3356" s="3">
        <f t="shared" si="54"/>
        <v>0</v>
      </c>
    </row>
    <row r="3357" spans="12:12" x14ac:dyDescent="0.35">
      <c r="L3357" s="3">
        <f t="shared" si="54"/>
        <v>0</v>
      </c>
    </row>
    <row r="3358" spans="12:12" x14ac:dyDescent="0.35">
      <c r="L3358" s="3">
        <f t="shared" si="54"/>
        <v>0</v>
      </c>
    </row>
    <row r="3359" spans="12:12" x14ac:dyDescent="0.35">
      <c r="L3359" s="3">
        <f t="shared" si="54"/>
        <v>0</v>
      </c>
    </row>
    <row r="3360" spans="12:12" x14ac:dyDescent="0.35">
      <c r="L3360" s="3">
        <f t="shared" si="54"/>
        <v>0</v>
      </c>
    </row>
    <row r="3361" spans="12:12" x14ac:dyDescent="0.35">
      <c r="L3361" s="3">
        <f t="shared" si="54"/>
        <v>0</v>
      </c>
    </row>
    <row r="3362" spans="12:12" x14ac:dyDescent="0.35">
      <c r="L3362" s="3">
        <f t="shared" si="54"/>
        <v>0</v>
      </c>
    </row>
    <row r="3363" spans="12:12" x14ac:dyDescent="0.35">
      <c r="L3363" s="3">
        <f t="shared" si="54"/>
        <v>0</v>
      </c>
    </row>
    <row r="3364" spans="12:12" x14ac:dyDescent="0.35">
      <c r="L3364" s="3">
        <f t="shared" si="54"/>
        <v>0</v>
      </c>
    </row>
    <row r="3365" spans="12:12" x14ac:dyDescent="0.35">
      <c r="L3365" s="3">
        <f t="shared" si="54"/>
        <v>0</v>
      </c>
    </row>
    <row r="3366" spans="12:12" x14ac:dyDescent="0.35">
      <c r="L3366" s="3">
        <f t="shared" si="54"/>
        <v>0</v>
      </c>
    </row>
    <row r="3367" spans="12:12" x14ac:dyDescent="0.35">
      <c r="L3367" s="3">
        <f t="shared" si="54"/>
        <v>0</v>
      </c>
    </row>
    <row r="3368" spans="12:12" x14ac:dyDescent="0.35">
      <c r="L3368" s="3">
        <f t="shared" si="54"/>
        <v>0</v>
      </c>
    </row>
    <row r="3369" spans="12:12" x14ac:dyDescent="0.35">
      <c r="L3369" s="3">
        <f t="shared" si="54"/>
        <v>0</v>
      </c>
    </row>
    <row r="3370" spans="12:12" x14ac:dyDescent="0.35">
      <c r="L3370" s="3">
        <f t="shared" si="54"/>
        <v>0</v>
      </c>
    </row>
    <row r="3371" spans="12:12" x14ac:dyDescent="0.35">
      <c r="L3371" s="3">
        <f t="shared" si="54"/>
        <v>0</v>
      </c>
    </row>
    <row r="3372" spans="12:12" x14ac:dyDescent="0.35">
      <c r="L3372" s="3">
        <f t="shared" si="54"/>
        <v>0</v>
      </c>
    </row>
    <row r="3373" spans="12:12" x14ac:dyDescent="0.35">
      <c r="L3373" s="3">
        <f t="shared" si="54"/>
        <v>0</v>
      </c>
    </row>
    <row r="3374" spans="12:12" x14ac:dyDescent="0.35">
      <c r="L3374" s="3">
        <f t="shared" si="54"/>
        <v>0</v>
      </c>
    </row>
    <row r="3375" spans="12:12" x14ac:dyDescent="0.35">
      <c r="L3375" s="3">
        <f t="shared" si="54"/>
        <v>0</v>
      </c>
    </row>
    <row r="3376" spans="12:12" x14ac:dyDescent="0.35">
      <c r="L3376" s="3">
        <f t="shared" si="54"/>
        <v>0</v>
      </c>
    </row>
    <row r="3377" spans="12:12" x14ac:dyDescent="0.35">
      <c r="L3377" s="3">
        <f t="shared" si="54"/>
        <v>0</v>
      </c>
    </row>
    <row r="3378" spans="12:12" x14ac:dyDescent="0.35">
      <c r="L3378" s="3">
        <f t="shared" si="54"/>
        <v>0</v>
      </c>
    </row>
    <row r="3379" spans="12:12" x14ac:dyDescent="0.35">
      <c r="L3379" s="3">
        <f t="shared" si="54"/>
        <v>0</v>
      </c>
    </row>
    <row r="3380" spans="12:12" x14ac:dyDescent="0.35">
      <c r="L3380" s="3">
        <f t="shared" si="54"/>
        <v>0</v>
      </c>
    </row>
    <row r="3381" spans="12:12" x14ac:dyDescent="0.35">
      <c r="L3381" s="3">
        <f t="shared" si="54"/>
        <v>0</v>
      </c>
    </row>
    <row r="3382" spans="12:12" x14ac:dyDescent="0.35">
      <c r="L3382" s="3">
        <f t="shared" si="54"/>
        <v>0</v>
      </c>
    </row>
    <row r="3383" spans="12:12" x14ac:dyDescent="0.35">
      <c r="L3383" s="3">
        <f t="shared" si="54"/>
        <v>0</v>
      </c>
    </row>
    <row r="3384" spans="12:12" x14ac:dyDescent="0.35">
      <c r="L3384" s="3">
        <f t="shared" si="54"/>
        <v>0</v>
      </c>
    </row>
    <row r="3385" spans="12:12" x14ac:dyDescent="0.35">
      <c r="L3385" s="3">
        <f t="shared" si="54"/>
        <v>0</v>
      </c>
    </row>
    <row r="3386" spans="12:12" x14ac:dyDescent="0.35">
      <c r="L3386" s="3">
        <f t="shared" si="54"/>
        <v>0</v>
      </c>
    </row>
    <row r="3387" spans="12:12" x14ac:dyDescent="0.35">
      <c r="L3387" s="3">
        <f t="shared" ref="L3387:L3450" si="55">K3387*C3387</f>
        <v>0</v>
      </c>
    </row>
    <row r="3388" spans="12:12" x14ac:dyDescent="0.35">
      <c r="L3388" s="3">
        <f t="shared" si="55"/>
        <v>0</v>
      </c>
    </row>
    <row r="3389" spans="12:12" x14ac:dyDescent="0.35">
      <c r="L3389" s="3">
        <f t="shared" si="55"/>
        <v>0</v>
      </c>
    </row>
    <row r="3390" spans="12:12" x14ac:dyDescent="0.35">
      <c r="L3390" s="3">
        <f t="shared" si="55"/>
        <v>0</v>
      </c>
    </row>
    <row r="3391" spans="12:12" x14ac:dyDescent="0.35">
      <c r="L3391" s="3">
        <f t="shared" si="55"/>
        <v>0</v>
      </c>
    </row>
    <row r="3392" spans="12:12" x14ac:dyDescent="0.35">
      <c r="L3392" s="3">
        <f t="shared" si="55"/>
        <v>0</v>
      </c>
    </row>
    <row r="3393" spans="12:12" x14ac:dyDescent="0.35">
      <c r="L3393" s="3">
        <f t="shared" si="55"/>
        <v>0</v>
      </c>
    </row>
    <row r="3394" spans="12:12" x14ac:dyDescent="0.35">
      <c r="L3394" s="3">
        <f t="shared" si="55"/>
        <v>0</v>
      </c>
    </row>
    <row r="3395" spans="12:12" x14ac:dyDescent="0.35">
      <c r="L3395" s="3">
        <f t="shared" si="55"/>
        <v>0</v>
      </c>
    </row>
    <row r="3396" spans="12:12" x14ac:dyDescent="0.35">
      <c r="L3396" s="3">
        <f t="shared" si="55"/>
        <v>0</v>
      </c>
    </row>
    <row r="3397" spans="12:12" x14ac:dyDescent="0.35">
      <c r="L3397" s="3">
        <f t="shared" si="55"/>
        <v>0</v>
      </c>
    </row>
    <row r="3398" spans="12:12" x14ac:dyDescent="0.35">
      <c r="L3398" s="3">
        <f t="shared" si="55"/>
        <v>0</v>
      </c>
    </row>
    <row r="3399" spans="12:12" x14ac:dyDescent="0.35">
      <c r="L3399" s="3">
        <f t="shared" si="55"/>
        <v>0</v>
      </c>
    </row>
    <row r="3400" spans="12:12" x14ac:dyDescent="0.35">
      <c r="L3400" s="3">
        <f t="shared" si="55"/>
        <v>0</v>
      </c>
    </row>
    <row r="3401" spans="12:12" x14ac:dyDescent="0.35">
      <c r="L3401" s="3">
        <f t="shared" si="55"/>
        <v>0</v>
      </c>
    </row>
    <row r="3402" spans="12:12" x14ac:dyDescent="0.35">
      <c r="L3402" s="3">
        <f t="shared" si="55"/>
        <v>0</v>
      </c>
    </row>
    <row r="3403" spans="12:12" x14ac:dyDescent="0.35">
      <c r="L3403" s="3">
        <f t="shared" si="55"/>
        <v>0</v>
      </c>
    </row>
    <row r="3404" spans="12:12" x14ac:dyDescent="0.35">
      <c r="L3404" s="3">
        <f t="shared" si="55"/>
        <v>0</v>
      </c>
    </row>
    <row r="3405" spans="12:12" x14ac:dyDescent="0.35">
      <c r="L3405" s="3">
        <f t="shared" si="55"/>
        <v>0</v>
      </c>
    </row>
    <row r="3406" spans="12:12" x14ac:dyDescent="0.35">
      <c r="L3406" s="3">
        <f t="shared" si="55"/>
        <v>0</v>
      </c>
    </row>
    <row r="3407" spans="12:12" x14ac:dyDescent="0.35">
      <c r="L3407" s="3">
        <f t="shared" si="55"/>
        <v>0</v>
      </c>
    </row>
    <row r="3408" spans="12:12" x14ac:dyDescent="0.35">
      <c r="L3408" s="3">
        <f t="shared" si="55"/>
        <v>0</v>
      </c>
    </row>
    <row r="3409" spans="12:12" x14ac:dyDescent="0.35">
      <c r="L3409" s="3">
        <f t="shared" si="55"/>
        <v>0</v>
      </c>
    </row>
    <row r="3410" spans="12:12" x14ac:dyDescent="0.35">
      <c r="L3410" s="3">
        <f t="shared" si="55"/>
        <v>0</v>
      </c>
    </row>
    <row r="3411" spans="12:12" x14ac:dyDescent="0.35">
      <c r="L3411" s="3">
        <f t="shared" si="55"/>
        <v>0</v>
      </c>
    </row>
    <row r="3412" spans="12:12" x14ac:dyDescent="0.35">
      <c r="L3412" s="3">
        <f t="shared" si="55"/>
        <v>0</v>
      </c>
    </row>
    <row r="3413" spans="12:12" x14ac:dyDescent="0.35">
      <c r="L3413" s="3">
        <f t="shared" si="55"/>
        <v>0</v>
      </c>
    </row>
    <row r="3414" spans="12:12" x14ac:dyDescent="0.35">
      <c r="L3414" s="3">
        <f t="shared" si="55"/>
        <v>0</v>
      </c>
    </row>
    <row r="3415" spans="12:12" x14ac:dyDescent="0.35">
      <c r="L3415" s="3">
        <f t="shared" si="55"/>
        <v>0</v>
      </c>
    </row>
    <row r="3416" spans="12:12" x14ac:dyDescent="0.35">
      <c r="L3416" s="3">
        <f t="shared" si="55"/>
        <v>0</v>
      </c>
    </row>
    <row r="3417" spans="12:12" x14ac:dyDescent="0.35">
      <c r="L3417" s="3">
        <f t="shared" si="55"/>
        <v>0</v>
      </c>
    </row>
    <row r="3418" spans="12:12" x14ac:dyDescent="0.35">
      <c r="L3418" s="3">
        <f t="shared" si="55"/>
        <v>0</v>
      </c>
    </row>
    <row r="3419" spans="12:12" x14ac:dyDescent="0.35">
      <c r="L3419" s="3">
        <f t="shared" si="55"/>
        <v>0</v>
      </c>
    </row>
    <row r="3420" spans="12:12" x14ac:dyDescent="0.35">
      <c r="L3420" s="3">
        <f t="shared" si="55"/>
        <v>0</v>
      </c>
    </row>
    <row r="3421" spans="12:12" x14ac:dyDescent="0.35">
      <c r="L3421" s="3">
        <f t="shared" si="55"/>
        <v>0</v>
      </c>
    </row>
    <row r="3422" spans="12:12" x14ac:dyDescent="0.35">
      <c r="L3422" s="3">
        <f t="shared" si="55"/>
        <v>0</v>
      </c>
    </row>
    <row r="3423" spans="12:12" x14ac:dyDescent="0.35">
      <c r="L3423" s="3">
        <f t="shared" si="55"/>
        <v>0</v>
      </c>
    </row>
    <row r="3424" spans="12:12" x14ac:dyDescent="0.35">
      <c r="L3424" s="3">
        <f t="shared" si="55"/>
        <v>0</v>
      </c>
    </row>
    <row r="3425" spans="12:12" x14ac:dyDescent="0.35">
      <c r="L3425" s="3">
        <f t="shared" si="55"/>
        <v>0</v>
      </c>
    </row>
    <row r="3426" spans="12:12" x14ac:dyDescent="0.35">
      <c r="L3426" s="3">
        <f t="shared" si="55"/>
        <v>0</v>
      </c>
    </row>
    <row r="3427" spans="12:12" x14ac:dyDescent="0.35">
      <c r="L3427" s="3">
        <f t="shared" si="55"/>
        <v>0</v>
      </c>
    </row>
    <row r="3428" spans="12:12" x14ac:dyDescent="0.35">
      <c r="L3428" s="3">
        <f t="shared" si="55"/>
        <v>0</v>
      </c>
    </row>
    <row r="3429" spans="12:12" x14ac:dyDescent="0.35">
      <c r="L3429" s="3">
        <f t="shared" si="55"/>
        <v>0</v>
      </c>
    </row>
    <row r="3430" spans="12:12" x14ac:dyDescent="0.35">
      <c r="L3430" s="3">
        <f t="shared" si="55"/>
        <v>0</v>
      </c>
    </row>
    <row r="3431" spans="12:12" x14ac:dyDescent="0.35">
      <c r="L3431" s="3">
        <f t="shared" si="55"/>
        <v>0</v>
      </c>
    </row>
    <row r="3432" spans="12:12" x14ac:dyDescent="0.35">
      <c r="L3432" s="3">
        <f t="shared" si="55"/>
        <v>0</v>
      </c>
    </row>
    <row r="3433" spans="12:12" x14ac:dyDescent="0.35">
      <c r="L3433" s="3">
        <f t="shared" si="55"/>
        <v>0</v>
      </c>
    </row>
    <row r="3434" spans="12:12" x14ac:dyDescent="0.35">
      <c r="L3434" s="3">
        <f t="shared" si="55"/>
        <v>0</v>
      </c>
    </row>
    <row r="3435" spans="12:12" x14ac:dyDescent="0.35">
      <c r="L3435" s="3">
        <f t="shared" si="55"/>
        <v>0</v>
      </c>
    </row>
    <row r="3436" spans="12:12" x14ac:dyDescent="0.35">
      <c r="L3436" s="3">
        <f t="shared" si="55"/>
        <v>0</v>
      </c>
    </row>
    <row r="3437" spans="12:12" x14ac:dyDescent="0.35">
      <c r="L3437" s="3">
        <f t="shared" si="55"/>
        <v>0</v>
      </c>
    </row>
    <row r="3438" spans="12:12" x14ac:dyDescent="0.35">
      <c r="L3438" s="3">
        <f t="shared" si="55"/>
        <v>0</v>
      </c>
    </row>
    <row r="3439" spans="12:12" x14ac:dyDescent="0.35">
      <c r="L3439" s="3">
        <f t="shared" si="55"/>
        <v>0</v>
      </c>
    </row>
    <row r="3440" spans="12:12" x14ac:dyDescent="0.35">
      <c r="L3440" s="3">
        <f t="shared" si="55"/>
        <v>0</v>
      </c>
    </row>
    <row r="3441" spans="12:12" x14ac:dyDescent="0.35">
      <c r="L3441" s="3">
        <f t="shared" si="55"/>
        <v>0</v>
      </c>
    </row>
    <row r="3442" spans="12:12" x14ac:dyDescent="0.35">
      <c r="L3442" s="3">
        <f t="shared" si="55"/>
        <v>0</v>
      </c>
    </row>
    <row r="3443" spans="12:12" x14ac:dyDescent="0.35">
      <c r="L3443" s="3">
        <f t="shared" si="55"/>
        <v>0</v>
      </c>
    </row>
    <row r="3444" spans="12:12" x14ac:dyDescent="0.35">
      <c r="L3444" s="3">
        <f t="shared" si="55"/>
        <v>0</v>
      </c>
    </row>
    <row r="3445" spans="12:12" x14ac:dyDescent="0.35">
      <c r="L3445" s="3">
        <f t="shared" si="55"/>
        <v>0</v>
      </c>
    </row>
    <row r="3446" spans="12:12" x14ac:dyDescent="0.35">
      <c r="L3446" s="3">
        <f t="shared" si="55"/>
        <v>0</v>
      </c>
    </row>
    <row r="3447" spans="12:12" x14ac:dyDescent="0.35">
      <c r="L3447" s="3">
        <f t="shared" si="55"/>
        <v>0</v>
      </c>
    </row>
    <row r="3448" spans="12:12" x14ac:dyDescent="0.35">
      <c r="L3448" s="3">
        <f t="shared" si="55"/>
        <v>0</v>
      </c>
    </row>
    <row r="3449" spans="12:12" x14ac:dyDescent="0.35">
      <c r="L3449" s="3">
        <f t="shared" si="55"/>
        <v>0</v>
      </c>
    </row>
    <row r="3450" spans="12:12" x14ac:dyDescent="0.35">
      <c r="L3450" s="3">
        <f t="shared" si="55"/>
        <v>0</v>
      </c>
    </row>
    <row r="3451" spans="12:12" x14ac:dyDescent="0.35">
      <c r="L3451" s="3">
        <f t="shared" ref="L3451:L3514" si="56">K3451*C3451</f>
        <v>0</v>
      </c>
    </row>
    <row r="3452" spans="12:12" x14ac:dyDescent="0.35">
      <c r="L3452" s="3">
        <f t="shared" si="56"/>
        <v>0</v>
      </c>
    </row>
    <row r="3453" spans="12:12" x14ac:dyDescent="0.35">
      <c r="L3453" s="3">
        <f t="shared" si="56"/>
        <v>0</v>
      </c>
    </row>
    <row r="3454" spans="12:12" x14ac:dyDescent="0.35">
      <c r="L3454" s="3">
        <f t="shared" si="56"/>
        <v>0</v>
      </c>
    </row>
    <row r="3455" spans="12:12" x14ac:dyDescent="0.35">
      <c r="L3455" s="3">
        <f t="shared" si="56"/>
        <v>0</v>
      </c>
    </row>
    <row r="3456" spans="12:12" x14ac:dyDescent="0.35">
      <c r="L3456" s="3">
        <f t="shared" si="56"/>
        <v>0</v>
      </c>
    </row>
    <row r="3457" spans="12:12" x14ac:dyDescent="0.35">
      <c r="L3457" s="3">
        <f t="shared" si="56"/>
        <v>0</v>
      </c>
    </row>
    <row r="3458" spans="12:12" x14ac:dyDescent="0.35">
      <c r="L3458" s="3">
        <f t="shared" si="56"/>
        <v>0</v>
      </c>
    </row>
    <row r="3459" spans="12:12" x14ac:dyDescent="0.35">
      <c r="L3459" s="3">
        <f t="shared" si="56"/>
        <v>0</v>
      </c>
    </row>
    <row r="3460" spans="12:12" x14ac:dyDescent="0.35">
      <c r="L3460" s="3">
        <f t="shared" si="56"/>
        <v>0</v>
      </c>
    </row>
    <row r="3461" spans="12:12" x14ac:dyDescent="0.35">
      <c r="L3461" s="3">
        <f t="shared" si="56"/>
        <v>0</v>
      </c>
    </row>
    <row r="3462" spans="12:12" x14ac:dyDescent="0.35">
      <c r="L3462" s="3">
        <f t="shared" si="56"/>
        <v>0</v>
      </c>
    </row>
    <row r="3463" spans="12:12" x14ac:dyDescent="0.35">
      <c r="L3463" s="3">
        <f t="shared" si="56"/>
        <v>0</v>
      </c>
    </row>
    <row r="3464" spans="12:12" x14ac:dyDescent="0.35">
      <c r="L3464" s="3">
        <f t="shared" si="56"/>
        <v>0</v>
      </c>
    </row>
    <row r="3465" spans="12:12" x14ac:dyDescent="0.35">
      <c r="L3465" s="3">
        <f t="shared" si="56"/>
        <v>0</v>
      </c>
    </row>
    <row r="3466" spans="12:12" x14ac:dyDescent="0.35">
      <c r="L3466" s="3">
        <f t="shared" si="56"/>
        <v>0</v>
      </c>
    </row>
    <row r="3467" spans="12:12" x14ac:dyDescent="0.35">
      <c r="L3467" s="3">
        <f t="shared" si="56"/>
        <v>0</v>
      </c>
    </row>
    <row r="3468" spans="12:12" x14ac:dyDescent="0.35">
      <c r="L3468" s="3">
        <f t="shared" si="56"/>
        <v>0</v>
      </c>
    </row>
    <row r="3469" spans="12:12" x14ac:dyDescent="0.35">
      <c r="L3469" s="3">
        <f t="shared" si="56"/>
        <v>0</v>
      </c>
    </row>
    <row r="3470" spans="12:12" x14ac:dyDescent="0.35">
      <c r="L3470" s="3">
        <f t="shared" si="56"/>
        <v>0</v>
      </c>
    </row>
    <row r="3471" spans="12:12" x14ac:dyDescent="0.35">
      <c r="L3471" s="3">
        <f t="shared" si="56"/>
        <v>0</v>
      </c>
    </row>
    <row r="3472" spans="12:12" x14ac:dyDescent="0.35">
      <c r="L3472" s="3">
        <f t="shared" si="56"/>
        <v>0</v>
      </c>
    </row>
    <row r="3473" spans="12:12" x14ac:dyDescent="0.35">
      <c r="L3473" s="3">
        <f t="shared" si="56"/>
        <v>0</v>
      </c>
    </row>
    <row r="3474" spans="12:12" x14ac:dyDescent="0.35">
      <c r="L3474" s="3">
        <f t="shared" si="56"/>
        <v>0</v>
      </c>
    </row>
    <row r="3475" spans="12:12" x14ac:dyDescent="0.35">
      <c r="L3475" s="3">
        <f t="shared" si="56"/>
        <v>0</v>
      </c>
    </row>
    <row r="3476" spans="12:12" x14ac:dyDescent="0.35">
      <c r="L3476" s="3">
        <f t="shared" si="56"/>
        <v>0</v>
      </c>
    </row>
    <row r="3477" spans="12:12" x14ac:dyDescent="0.35">
      <c r="L3477" s="3">
        <f t="shared" si="56"/>
        <v>0</v>
      </c>
    </row>
    <row r="3478" spans="12:12" x14ac:dyDescent="0.35">
      <c r="L3478" s="3">
        <f t="shared" si="56"/>
        <v>0</v>
      </c>
    </row>
    <row r="3479" spans="12:12" x14ac:dyDescent="0.35">
      <c r="L3479" s="3">
        <f t="shared" si="56"/>
        <v>0</v>
      </c>
    </row>
    <row r="3480" spans="12:12" x14ac:dyDescent="0.35">
      <c r="L3480" s="3">
        <f t="shared" si="56"/>
        <v>0</v>
      </c>
    </row>
    <row r="3481" spans="12:12" x14ac:dyDescent="0.35">
      <c r="L3481" s="3">
        <f t="shared" si="56"/>
        <v>0</v>
      </c>
    </row>
    <row r="3482" spans="12:12" x14ac:dyDescent="0.35">
      <c r="L3482" s="3">
        <f t="shared" si="56"/>
        <v>0</v>
      </c>
    </row>
    <row r="3483" spans="12:12" x14ac:dyDescent="0.35">
      <c r="L3483" s="3">
        <f t="shared" si="56"/>
        <v>0</v>
      </c>
    </row>
    <row r="3484" spans="12:12" x14ac:dyDescent="0.35">
      <c r="L3484" s="3">
        <f t="shared" si="56"/>
        <v>0</v>
      </c>
    </row>
    <row r="3485" spans="12:12" x14ac:dyDescent="0.35">
      <c r="L3485" s="3">
        <f t="shared" si="56"/>
        <v>0</v>
      </c>
    </row>
    <row r="3486" spans="12:12" x14ac:dyDescent="0.35">
      <c r="L3486" s="3">
        <f t="shared" si="56"/>
        <v>0</v>
      </c>
    </row>
    <row r="3487" spans="12:12" x14ac:dyDescent="0.35">
      <c r="L3487" s="3">
        <f t="shared" si="56"/>
        <v>0</v>
      </c>
    </row>
    <row r="3488" spans="12:12" x14ac:dyDescent="0.35">
      <c r="L3488" s="3">
        <f t="shared" si="56"/>
        <v>0</v>
      </c>
    </row>
    <row r="3489" spans="12:12" x14ac:dyDescent="0.35">
      <c r="L3489" s="3">
        <f t="shared" si="56"/>
        <v>0</v>
      </c>
    </row>
    <row r="3490" spans="12:12" x14ac:dyDescent="0.35">
      <c r="L3490" s="3">
        <f t="shared" si="56"/>
        <v>0</v>
      </c>
    </row>
    <row r="3491" spans="12:12" x14ac:dyDescent="0.35">
      <c r="L3491" s="3">
        <f t="shared" si="56"/>
        <v>0</v>
      </c>
    </row>
    <row r="3492" spans="12:12" x14ac:dyDescent="0.35">
      <c r="L3492" s="3">
        <f t="shared" si="56"/>
        <v>0</v>
      </c>
    </row>
    <row r="3493" spans="12:12" x14ac:dyDescent="0.35">
      <c r="L3493" s="3">
        <f t="shared" si="56"/>
        <v>0</v>
      </c>
    </row>
    <row r="3494" spans="12:12" x14ac:dyDescent="0.35">
      <c r="L3494" s="3">
        <f t="shared" si="56"/>
        <v>0</v>
      </c>
    </row>
    <row r="3495" spans="12:12" x14ac:dyDescent="0.35">
      <c r="L3495" s="3">
        <f t="shared" si="56"/>
        <v>0</v>
      </c>
    </row>
    <row r="3496" spans="12:12" x14ac:dyDescent="0.35">
      <c r="L3496" s="3">
        <f t="shared" si="56"/>
        <v>0</v>
      </c>
    </row>
    <row r="3497" spans="12:12" x14ac:dyDescent="0.35">
      <c r="L3497" s="3">
        <f t="shared" si="56"/>
        <v>0</v>
      </c>
    </row>
    <row r="3498" spans="12:12" x14ac:dyDescent="0.35">
      <c r="L3498" s="3">
        <f t="shared" si="56"/>
        <v>0</v>
      </c>
    </row>
    <row r="3499" spans="12:12" x14ac:dyDescent="0.35">
      <c r="L3499" s="3">
        <f t="shared" si="56"/>
        <v>0</v>
      </c>
    </row>
    <row r="3500" spans="12:12" x14ac:dyDescent="0.35">
      <c r="L3500" s="3">
        <f t="shared" si="56"/>
        <v>0</v>
      </c>
    </row>
    <row r="3501" spans="12:12" x14ac:dyDescent="0.35">
      <c r="L3501" s="3">
        <f t="shared" si="56"/>
        <v>0</v>
      </c>
    </row>
    <row r="3502" spans="12:12" x14ac:dyDescent="0.35">
      <c r="L3502" s="3">
        <f t="shared" si="56"/>
        <v>0</v>
      </c>
    </row>
    <row r="3503" spans="12:12" x14ac:dyDescent="0.35">
      <c r="L3503" s="3">
        <f t="shared" si="56"/>
        <v>0</v>
      </c>
    </row>
    <row r="3504" spans="12:12" x14ac:dyDescent="0.35">
      <c r="L3504" s="3">
        <f t="shared" si="56"/>
        <v>0</v>
      </c>
    </row>
    <row r="3505" spans="12:12" x14ac:dyDescent="0.35">
      <c r="L3505" s="3">
        <f t="shared" si="56"/>
        <v>0</v>
      </c>
    </row>
    <row r="3506" spans="12:12" x14ac:dyDescent="0.35">
      <c r="L3506" s="3">
        <f t="shared" si="56"/>
        <v>0</v>
      </c>
    </row>
    <row r="3507" spans="12:12" x14ac:dyDescent="0.35">
      <c r="L3507" s="3">
        <f t="shared" si="56"/>
        <v>0</v>
      </c>
    </row>
    <row r="3508" spans="12:12" x14ac:dyDescent="0.35">
      <c r="L3508" s="3">
        <f t="shared" si="56"/>
        <v>0</v>
      </c>
    </row>
    <row r="3509" spans="12:12" x14ac:dyDescent="0.35">
      <c r="L3509" s="3">
        <f t="shared" si="56"/>
        <v>0</v>
      </c>
    </row>
    <row r="3510" spans="12:12" x14ac:dyDescent="0.35">
      <c r="L3510" s="3">
        <f t="shared" si="56"/>
        <v>0</v>
      </c>
    </row>
    <row r="3511" spans="12:12" x14ac:dyDescent="0.35">
      <c r="L3511" s="3">
        <f t="shared" si="56"/>
        <v>0</v>
      </c>
    </row>
    <row r="3512" spans="12:12" x14ac:dyDescent="0.35">
      <c r="L3512" s="3">
        <f t="shared" si="56"/>
        <v>0</v>
      </c>
    </row>
    <row r="3513" spans="12:12" x14ac:dyDescent="0.35">
      <c r="L3513" s="3">
        <f t="shared" si="56"/>
        <v>0</v>
      </c>
    </row>
    <row r="3514" spans="12:12" x14ac:dyDescent="0.35">
      <c r="L3514" s="3">
        <f t="shared" si="56"/>
        <v>0</v>
      </c>
    </row>
    <row r="3515" spans="12:12" x14ac:dyDescent="0.35">
      <c r="L3515" s="3">
        <f t="shared" ref="L3515:L3578" si="57">K3515*C3515</f>
        <v>0</v>
      </c>
    </row>
    <row r="3516" spans="12:12" x14ac:dyDescent="0.35">
      <c r="L3516" s="3">
        <f t="shared" si="57"/>
        <v>0</v>
      </c>
    </row>
    <row r="3517" spans="12:12" x14ac:dyDescent="0.35">
      <c r="L3517" s="3">
        <f t="shared" si="57"/>
        <v>0</v>
      </c>
    </row>
    <row r="3518" spans="12:12" x14ac:dyDescent="0.35">
      <c r="L3518" s="3">
        <f t="shared" si="57"/>
        <v>0</v>
      </c>
    </row>
    <row r="3519" spans="12:12" x14ac:dyDescent="0.35">
      <c r="L3519" s="3">
        <f t="shared" si="57"/>
        <v>0</v>
      </c>
    </row>
    <row r="3520" spans="12:12" x14ac:dyDescent="0.35">
      <c r="L3520" s="3">
        <f t="shared" si="57"/>
        <v>0</v>
      </c>
    </row>
    <row r="3521" spans="12:12" x14ac:dyDescent="0.35">
      <c r="L3521" s="3">
        <f t="shared" si="57"/>
        <v>0</v>
      </c>
    </row>
    <row r="3522" spans="12:12" x14ac:dyDescent="0.35">
      <c r="L3522" s="3">
        <f t="shared" si="57"/>
        <v>0</v>
      </c>
    </row>
    <row r="3523" spans="12:12" x14ac:dyDescent="0.35">
      <c r="L3523" s="3">
        <f t="shared" si="57"/>
        <v>0</v>
      </c>
    </row>
    <row r="3524" spans="12:12" x14ac:dyDescent="0.35">
      <c r="L3524" s="3">
        <f t="shared" si="57"/>
        <v>0</v>
      </c>
    </row>
    <row r="3525" spans="12:12" x14ac:dyDescent="0.35">
      <c r="L3525" s="3">
        <f t="shared" si="57"/>
        <v>0</v>
      </c>
    </row>
    <row r="3526" spans="12:12" x14ac:dyDescent="0.35">
      <c r="L3526" s="3">
        <f t="shared" si="57"/>
        <v>0</v>
      </c>
    </row>
    <row r="3527" spans="12:12" x14ac:dyDescent="0.35">
      <c r="L3527" s="3">
        <f t="shared" si="57"/>
        <v>0</v>
      </c>
    </row>
    <row r="3528" spans="12:12" x14ac:dyDescent="0.35">
      <c r="L3528" s="3">
        <f t="shared" si="57"/>
        <v>0</v>
      </c>
    </row>
    <row r="3529" spans="12:12" x14ac:dyDescent="0.35">
      <c r="L3529" s="3">
        <f t="shared" si="57"/>
        <v>0</v>
      </c>
    </row>
    <row r="3530" spans="12:12" x14ac:dyDescent="0.35">
      <c r="L3530" s="3">
        <f t="shared" si="57"/>
        <v>0</v>
      </c>
    </row>
    <row r="3531" spans="12:12" x14ac:dyDescent="0.35">
      <c r="L3531" s="3">
        <f t="shared" si="57"/>
        <v>0</v>
      </c>
    </row>
    <row r="3532" spans="12:12" x14ac:dyDescent="0.35">
      <c r="L3532" s="3">
        <f t="shared" si="57"/>
        <v>0</v>
      </c>
    </row>
    <row r="3533" spans="12:12" x14ac:dyDescent="0.35">
      <c r="L3533" s="3">
        <f t="shared" si="57"/>
        <v>0</v>
      </c>
    </row>
    <row r="3534" spans="12:12" x14ac:dyDescent="0.35">
      <c r="L3534" s="3">
        <f t="shared" si="57"/>
        <v>0</v>
      </c>
    </row>
    <row r="3535" spans="12:12" x14ac:dyDescent="0.35">
      <c r="L3535" s="3">
        <f t="shared" si="57"/>
        <v>0</v>
      </c>
    </row>
    <row r="3536" spans="12:12" x14ac:dyDescent="0.35">
      <c r="L3536" s="3">
        <f t="shared" si="57"/>
        <v>0</v>
      </c>
    </row>
    <row r="3537" spans="12:12" x14ac:dyDescent="0.35">
      <c r="L3537" s="3">
        <f t="shared" si="57"/>
        <v>0</v>
      </c>
    </row>
    <row r="3538" spans="12:12" x14ac:dyDescent="0.35">
      <c r="L3538" s="3">
        <f t="shared" si="57"/>
        <v>0</v>
      </c>
    </row>
    <row r="3539" spans="12:12" x14ac:dyDescent="0.35">
      <c r="L3539" s="3">
        <f t="shared" si="57"/>
        <v>0</v>
      </c>
    </row>
    <row r="3540" spans="12:12" x14ac:dyDescent="0.35">
      <c r="L3540" s="3">
        <f t="shared" si="57"/>
        <v>0</v>
      </c>
    </row>
    <row r="3541" spans="12:12" x14ac:dyDescent="0.35">
      <c r="L3541" s="3">
        <f t="shared" si="57"/>
        <v>0</v>
      </c>
    </row>
    <row r="3542" spans="12:12" x14ac:dyDescent="0.35">
      <c r="L3542" s="3">
        <f t="shared" si="57"/>
        <v>0</v>
      </c>
    </row>
    <row r="3543" spans="12:12" x14ac:dyDescent="0.35">
      <c r="L3543" s="3">
        <f t="shared" si="57"/>
        <v>0</v>
      </c>
    </row>
    <row r="3544" spans="12:12" x14ac:dyDescent="0.35">
      <c r="L3544" s="3">
        <f t="shared" si="57"/>
        <v>0</v>
      </c>
    </row>
    <row r="3545" spans="12:12" x14ac:dyDescent="0.35">
      <c r="L3545" s="3">
        <f t="shared" si="57"/>
        <v>0</v>
      </c>
    </row>
    <row r="3546" spans="12:12" x14ac:dyDescent="0.35">
      <c r="L3546" s="3">
        <f t="shared" si="57"/>
        <v>0</v>
      </c>
    </row>
    <row r="3547" spans="12:12" x14ac:dyDescent="0.35">
      <c r="L3547" s="3">
        <f t="shared" si="57"/>
        <v>0</v>
      </c>
    </row>
    <row r="3548" spans="12:12" x14ac:dyDescent="0.35">
      <c r="L3548" s="3">
        <f t="shared" si="57"/>
        <v>0</v>
      </c>
    </row>
    <row r="3549" spans="12:12" x14ac:dyDescent="0.35">
      <c r="L3549" s="3">
        <f t="shared" si="57"/>
        <v>0</v>
      </c>
    </row>
    <row r="3550" spans="12:12" x14ac:dyDescent="0.35">
      <c r="L3550" s="3">
        <f t="shared" si="57"/>
        <v>0</v>
      </c>
    </row>
    <row r="3551" spans="12:12" x14ac:dyDescent="0.35">
      <c r="L3551" s="3">
        <f t="shared" si="57"/>
        <v>0</v>
      </c>
    </row>
    <row r="3552" spans="12:12" x14ac:dyDescent="0.35">
      <c r="L3552" s="3">
        <f t="shared" si="57"/>
        <v>0</v>
      </c>
    </row>
    <row r="3553" spans="12:12" x14ac:dyDescent="0.35">
      <c r="L3553" s="3">
        <f t="shared" si="57"/>
        <v>0</v>
      </c>
    </row>
    <row r="3554" spans="12:12" x14ac:dyDescent="0.35">
      <c r="L3554" s="3">
        <f t="shared" si="57"/>
        <v>0</v>
      </c>
    </row>
    <row r="3555" spans="12:12" x14ac:dyDescent="0.35">
      <c r="L3555" s="3">
        <f t="shared" si="57"/>
        <v>0</v>
      </c>
    </row>
    <row r="3556" spans="12:12" x14ac:dyDescent="0.35">
      <c r="L3556" s="3">
        <f t="shared" si="57"/>
        <v>0</v>
      </c>
    </row>
    <row r="3557" spans="12:12" x14ac:dyDescent="0.35">
      <c r="L3557" s="3">
        <f t="shared" si="57"/>
        <v>0</v>
      </c>
    </row>
    <row r="3558" spans="12:12" x14ac:dyDescent="0.35">
      <c r="L3558" s="3">
        <f t="shared" si="57"/>
        <v>0</v>
      </c>
    </row>
    <row r="3559" spans="12:12" x14ac:dyDescent="0.35">
      <c r="L3559" s="3">
        <f t="shared" si="57"/>
        <v>0</v>
      </c>
    </row>
    <row r="3560" spans="12:12" x14ac:dyDescent="0.35">
      <c r="L3560" s="3">
        <f t="shared" si="57"/>
        <v>0</v>
      </c>
    </row>
    <row r="3561" spans="12:12" x14ac:dyDescent="0.35">
      <c r="L3561" s="3">
        <f t="shared" si="57"/>
        <v>0</v>
      </c>
    </row>
    <row r="3562" spans="12:12" x14ac:dyDescent="0.35">
      <c r="L3562" s="3">
        <f t="shared" si="57"/>
        <v>0</v>
      </c>
    </row>
    <row r="3563" spans="12:12" x14ac:dyDescent="0.35">
      <c r="L3563" s="3">
        <f t="shared" si="57"/>
        <v>0</v>
      </c>
    </row>
    <row r="3564" spans="12:12" x14ac:dyDescent="0.35">
      <c r="L3564" s="3">
        <f t="shared" si="57"/>
        <v>0</v>
      </c>
    </row>
    <row r="3565" spans="12:12" x14ac:dyDescent="0.35">
      <c r="L3565" s="3">
        <f t="shared" si="57"/>
        <v>0</v>
      </c>
    </row>
    <row r="3566" spans="12:12" x14ac:dyDescent="0.35">
      <c r="L3566" s="3">
        <f t="shared" si="57"/>
        <v>0</v>
      </c>
    </row>
    <row r="3567" spans="12:12" x14ac:dyDescent="0.35">
      <c r="L3567" s="3">
        <f t="shared" si="57"/>
        <v>0</v>
      </c>
    </row>
    <row r="3568" spans="12:12" x14ac:dyDescent="0.35">
      <c r="L3568" s="3">
        <f t="shared" si="57"/>
        <v>0</v>
      </c>
    </row>
    <row r="3569" spans="12:12" x14ac:dyDescent="0.35">
      <c r="L3569" s="3">
        <f t="shared" si="57"/>
        <v>0</v>
      </c>
    </row>
    <row r="3570" spans="12:12" x14ac:dyDescent="0.35">
      <c r="L3570" s="3">
        <f t="shared" si="57"/>
        <v>0</v>
      </c>
    </row>
    <row r="3571" spans="12:12" x14ac:dyDescent="0.35">
      <c r="L3571" s="3">
        <f t="shared" si="57"/>
        <v>0</v>
      </c>
    </row>
    <row r="3572" spans="12:12" x14ac:dyDescent="0.35">
      <c r="L3572" s="3">
        <f t="shared" si="57"/>
        <v>0</v>
      </c>
    </row>
    <row r="3573" spans="12:12" x14ac:dyDescent="0.35">
      <c r="L3573" s="3">
        <f t="shared" si="57"/>
        <v>0</v>
      </c>
    </row>
    <row r="3574" spans="12:12" x14ac:dyDescent="0.35">
      <c r="L3574" s="3">
        <f t="shared" si="57"/>
        <v>0</v>
      </c>
    </row>
    <row r="3575" spans="12:12" x14ac:dyDescent="0.35">
      <c r="L3575" s="3">
        <f t="shared" si="57"/>
        <v>0</v>
      </c>
    </row>
    <row r="3576" spans="12:12" x14ac:dyDescent="0.35">
      <c r="L3576" s="3">
        <f t="shared" si="57"/>
        <v>0</v>
      </c>
    </row>
    <row r="3577" spans="12:12" x14ac:dyDescent="0.35">
      <c r="L3577" s="3">
        <f t="shared" si="57"/>
        <v>0</v>
      </c>
    </row>
    <row r="3578" spans="12:12" x14ac:dyDescent="0.35">
      <c r="L3578" s="3">
        <f t="shared" si="57"/>
        <v>0</v>
      </c>
    </row>
    <row r="3579" spans="12:12" x14ac:dyDescent="0.35">
      <c r="L3579" s="3">
        <f t="shared" ref="L3579:L3642" si="58">K3579*C3579</f>
        <v>0</v>
      </c>
    </row>
    <row r="3580" spans="12:12" x14ac:dyDescent="0.35">
      <c r="L3580" s="3">
        <f t="shared" si="58"/>
        <v>0</v>
      </c>
    </row>
    <row r="3581" spans="12:12" x14ac:dyDescent="0.35">
      <c r="L3581" s="3">
        <f t="shared" si="58"/>
        <v>0</v>
      </c>
    </row>
    <row r="3582" spans="12:12" x14ac:dyDescent="0.35">
      <c r="L3582" s="3">
        <f t="shared" si="58"/>
        <v>0</v>
      </c>
    </row>
    <row r="3583" spans="12:12" x14ac:dyDescent="0.35">
      <c r="L3583" s="3">
        <f t="shared" si="58"/>
        <v>0</v>
      </c>
    </row>
    <row r="3584" spans="12:12" x14ac:dyDescent="0.35">
      <c r="L3584" s="3">
        <f t="shared" si="58"/>
        <v>0</v>
      </c>
    </row>
    <row r="3585" spans="12:12" x14ac:dyDescent="0.35">
      <c r="L3585" s="3">
        <f t="shared" si="58"/>
        <v>0</v>
      </c>
    </row>
    <row r="3586" spans="12:12" x14ac:dyDescent="0.35">
      <c r="L3586" s="3">
        <f t="shared" si="58"/>
        <v>0</v>
      </c>
    </row>
    <row r="3587" spans="12:12" x14ac:dyDescent="0.35">
      <c r="L3587" s="3">
        <f t="shared" si="58"/>
        <v>0</v>
      </c>
    </row>
    <row r="3588" spans="12:12" x14ac:dyDescent="0.35">
      <c r="L3588" s="3">
        <f t="shared" si="58"/>
        <v>0</v>
      </c>
    </row>
    <row r="3589" spans="12:12" x14ac:dyDescent="0.35">
      <c r="L3589" s="3">
        <f t="shared" si="58"/>
        <v>0</v>
      </c>
    </row>
    <row r="3590" spans="12:12" x14ac:dyDescent="0.35">
      <c r="L3590" s="3">
        <f t="shared" si="58"/>
        <v>0</v>
      </c>
    </row>
    <row r="3591" spans="12:12" x14ac:dyDescent="0.35">
      <c r="L3591" s="3">
        <f t="shared" si="58"/>
        <v>0</v>
      </c>
    </row>
    <row r="3592" spans="12:12" x14ac:dyDescent="0.35">
      <c r="L3592" s="3">
        <f t="shared" si="58"/>
        <v>0</v>
      </c>
    </row>
    <row r="3593" spans="12:12" x14ac:dyDescent="0.35">
      <c r="L3593" s="3">
        <f t="shared" si="58"/>
        <v>0</v>
      </c>
    </row>
    <row r="3594" spans="12:12" x14ac:dyDescent="0.35">
      <c r="L3594" s="3">
        <f t="shared" si="58"/>
        <v>0</v>
      </c>
    </row>
    <row r="3595" spans="12:12" x14ac:dyDescent="0.35">
      <c r="L3595" s="3">
        <f t="shared" si="58"/>
        <v>0</v>
      </c>
    </row>
    <row r="3596" spans="12:12" x14ac:dyDescent="0.35">
      <c r="L3596" s="3">
        <f t="shared" si="58"/>
        <v>0</v>
      </c>
    </row>
    <row r="3597" spans="12:12" x14ac:dyDescent="0.35">
      <c r="L3597" s="3">
        <f t="shared" si="58"/>
        <v>0</v>
      </c>
    </row>
    <row r="3598" spans="12:12" x14ac:dyDescent="0.35">
      <c r="L3598" s="3">
        <f t="shared" si="58"/>
        <v>0</v>
      </c>
    </row>
    <row r="3599" spans="12:12" x14ac:dyDescent="0.35">
      <c r="L3599" s="3">
        <f t="shared" si="58"/>
        <v>0</v>
      </c>
    </row>
    <row r="3600" spans="12:12" x14ac:dyDescent="0.35">
      <c r="L3600" s="3">
        <f t="shared" si="58"/>
        <v>0</v>
      </c>
    </row>
    <row r="3601" spans="12:12" x14ac:dyDescent="0.35">
      <c r="L3601" s="3">
        <f t="shared" si="58"/>
        <v>0</v>
      </c>
    </row>
    <row r="3602" spans="12:12" x14ac:dyDescent="0.35">
      <c r="L3602" s="3">
        <f t="shared" si="58"/>
        <v>0</v>
      </c>
    </row>
    <row r="3603" spans="12:12" x14ac:dyDescent="0.35">
      <c r="L3603" s="3">
        <f t="shared" si="58"/>
        <v>0</v>
      </c>
    </row>
    <row r="3604" spans="12:12" x14ac:dyDescent="0.35">
      <c r="L3604" s="3">
        <f t="shared" si="58"/>
        <v>0</v>
      </c>
    </row>
    <row r="3605" spans="12:12" x14ac:dyDescent="0.35">
      <c r="L3605" s="3">
        <f t="shared" si="58"/>
        <v>0</v>
      </c>
    </row>
    <row r="3606" spans="12:12" x14ac:dyDescent="0.35">
      <c r="L3606" s="3">
        <f t="shared" si="58"/>
        <v>0</v>
      </c>
    </row>
    <row r="3607" spans="12:12" x14ac:dyDescent="0.35">
      <c r="L3607" s="3">
        <f t="shared" si="58"/>
        <v>0</v>
      </c>
    </row>
    <row r="3608" spans="12:12" x14ac:dyDescent="0.35">
      <c r="L3608" s="3">
        <f t="shared" si="58"/>
        <v>0</v>
      </c>
    </row>
    <row r="3609" spans="12:12" x14ac:dyDescent="0.35">
      <c r="L3609" s="3">
        <f t="shared" si="58"/>
        <v>0</v>
      </c>
    </row>
    <row r="3610" spans="12:12" x14ac:dyDescent="0.35">
      <c r="L3610" s="3">
        <f t="shared" si="58"/>
        <v>0</v>
      </c>
    </row>
    <row r="3611" spans="12:12" x14ac:dyDescent="0.35">
      <c r="L3611" s="3">
        <f t="shared" si="58"/>
        <v>0</v>
      </c>
    </row>
    <row r="3612" spans="12:12" x14ac:dyDescent="0.35">
      <c r="L3612" s="3">
        <f t="shared" si="58"/>
        <v>0</v>
      </c>
    </row>
    <row r="3613" spans="12:12" x14ac:dyDescent="0.35">
      <c r="L3613" s="3">
        <f t="shared" si="58"/>
        <v>0</v>
      </c>
    </row>
    <row r="3614" spans="12:12" x14ac:dyDescent="0.35">
      <c r="L3614" s="3">
        <f t="shared" si="58"/>
        <v>0</v>
      </c>
    </row>
    <row r="3615" spans="12:12" x14ac:dyDescent="0.35">
      <c r="L3615" s="3">
        <f t="shared" si="58"/>
        <v>0</v>
      </c>
    </row>
    <row r="3616" spans="12:12" x14ac:dyDescent="0.35">
      <c r="L3616" s="3">
        <f t="shared" si="58"/>
        <v>0</v>
      </c>
    </row>
    <row r="3617" spans="12:12" x14ac:dyDescent="0.35">
      <c r="L3617" s="3">
        <f t="shared" si="58"/>
        <v>0</v>
      </c>
    </row>
    <row r="3618" spans="12:12" x14ac:dyDescent="0.35">
      <c r="L3618" s="3">
        <f t="shared" si="58"/>
        <v>0</v>
      </c>
    </row>
    <row r="3619" spans="12:12" x14ac:dyDescent="0.35">
      <c r="L3619" s="3">
        <f t="shared" si="58"/>
        <v>0</v>
      </c>
    </row>
    <row r="3620" spans="12:12" x14ac:dyDescent="0.35">
      <c r="L3620" s="3">
        <f t="shared" si="58"/>
        <v>0</v>
      </c>
    </row>
    <row r="3621" spans="12:12" x14ac:dyDescent="0.35">
      <c r="L3621" s="3">
        <f t="shared" si="58"/>
        <v>0</v>
      </c>
    </row>
    <row r="3622" spans="12:12" x14ac:dyDescent="0.35">
      <c r="L3622" s="3">
        <f t="shared" si="58"/>
        <v>0</v>
      </c>
    </row>
    <row r="3623" spans="12:12" x14ac:dyDescent="0.35">
      <c r="L3623" s="3">
        <f t="shared" si="58"/>
        <v>0</v>
      </c>
    </row>
    <row r="3624" spans="12:12" x14ac:dyDescent="0.35">
      <c r="L3624" s="3">
        <f t="shared" si="58"/>
        <v>0</v>
      </c>
    </row>
    <row r="3625" spans="12:12" x14ac:dyDescent="0.35">
      <c r="L3625" s="3">
        <f t="shared" si="58"/>
        <v>0</v>
      </c>
    </row>
    <row r="3626" spans="12:12" x14ac:dyDescent="0.35">
      <c r="L3626" s="3">
        <f t="shared" si="58"/>
        <v>0</v>
      </c>
    </row>
    <row r="3627" spans="12:12" x14ac:dyDescent="0.35">
      <c r="L3627" s="3">
        <f t="shared" si="58"/>
        <v>0</v>
      </c>
    </row>
    <row r="3628" spans="12:12" x14ac:dyDescent="0.35">
      <c r="L3628" s="3">
        <f t="shared" si="58"/>
        <v>0</v>
      </c>
    </row>
    <row r="3629" spans="12:12" x14ac:dyDescent="0.35">
      <c r="L3629" s="3">
        <f t="shared" si="58"/>
        <v>0</v>
      </c>
    </row>
    <row r="3630" spans="12:12" x14ac:dyDescent="0.35">
      <c r="L3630" s="3">
        <f t="shared" si="58"/>
        <v>0</v>
      </c>
    </row>
    <row r="3631" spans="12:12" x14ac:dyDescent="0.35">
      <c r="L3631" s="3">
        <f t="shared" si="58"/>
        <v>0</v>
      </c>
    </row>
    <row r="3632" spans="12:12" x14ac:dyDescent="0.35">
      <c r="L3632" s="3">
        <f t="shared" si="58"/>
        <v>0</v>
      </c>
    </row>
    <row r="3633" spans="12:12" x14ac:dyDescent="0.35">
      <c r="L3633" s="3">
        <f t="shared" si="58"/>
        <v>0</v>
      </c>
    </row>
    <row r="3634" spans="12:12" x14ac:dyDescent="0.35">
      <c r="L3634" s="3">
        <f t="shared" si="58"/>
        <v>0</v>
      </c>
    </row>
    <row r="3635" spans="12:12" x14ac:dyDescent="0.35">
      <c r="L3635" s="3">
        <f t="shared" si="58"/>
        <v>0</v>
      </c>
    </row>
    <row r="3636" spans="12:12" x14ac:dyDescent="0.35">
      <c r="L3636" s="3">
        <f t="shared" si="58"/>
        <v>0</v>
      </c>
    </row>
    <row r="3637" spans="12:12" x14ac:dyDescent="0.35">
      <c r="L3637" s="3">
        <f t="shared" si="58"/>
        <v>0</v>
      </c>
    </row>
    <row r="3638" spans="12:12" x14ac:dyDescent="0.35">
      <c r="L3638" s="3">
        <f t="shared" si="58"/>
        <v>0</v>
      </c>
    </row>
    <row r="3639" spans="12:12" x14ac:dyDescent="0.35">
      <c r="L3639" s="3">
        <f t="shared" si="58"/>
        <v>0</v>
      </c>
    </row>
    <row r="3640" spans="12:12" x14ac:dyDescent="0.35">
      <c r="L3640" s="3">
        <f t="shared" si="58"/>
        <v>0</v>
      </c>
    </row>
    <row r="3641" spans="12:12" x14ac:dyDescent="0.35">
      <c r="L3641" s="3">
        <f t="shared" si="58"/>
        <v>0</v>
      </c>
    </row>
    <row r="3642" spans="12:12" x14ac:dyDescent="0.35">
      <c r="L3642" s="3">
        <f t="shared" si="58"/>
        <v>0</v>
      </c>
    </row>
    <row r="3643" spans="12:12" x14ac:dyDescent="0.35">
      <c r="L3643" s="3">
        <f t="shared" ref="L3643:L3706" si="59">K3643*C3643</f>
        <v>0</v>
      </c>
    </row>
    <row r="3644" spans="12:12" x14ac:dyDescent="0.35">
      <c r="L3644" s="3">
        <f t="shared" si="59"/>
        <v>0</v>
      </c>
    </row>
    <row r="3645" spans="12:12" x14ac:dyDescent="0.35">
      <c r="L3645" s="3">
        <f t="shared" si="59"/>
        <v>0</v>
      </c>
    </row>
    <row r="3646" spans="12:12" x14ac:dyDescent="0.35">
      <c r="L3646" s="3">
        <f t="shared" si="59"/>
        <v>0</v>
      </c>
    </row>
    <row r="3647" spans="12:12" x14ac:dyDescent="0.35">
      <c r="L3647" s="3">
        <f t="shared" si="59"/>
        <v>0</v>
      </c>
    </row>
    <row r="3648" spans="12:12" x14ac:dyDescent="0.35">
      <c r="L3648" s="3">
        <f t="shared" si="59"/>
        <v>0</v>
      </c>
    </row>
    <row r="3649" spans="12:12" x14ac:dyDescent="0.35">
      <c r="L3649" s="3">
        <f t="shared" si="59"/>
        <v>0</v>
      </c>
    </row>
    <row r="3650" spans="12:12" x14ac:dyDescent="0.35">
      <c r="L3650" s="3">
        <f t="shared" si="59"/>
        <v>0</v>
      </c>
    </row>
    <row r="3651" spans="12:12" x14ac:dyDescent="0.35">
      <c r="L3651" s="3">
        <f t="shared" si="59"/>
        <v>0</v>
      </c>
    </row>
    <row r="3652" spans="12:12" x14ac:dyDescent="0.35">
      <c r="L3652" s="3">
        <f t="shared" si="59"/>
        <v>0</v>
      </c>
    </row>
    <row r="3653" spans="12:12" x14ac:dyDescent="0.35">
      <c r="L3653" s="3">
        <f t="shared" si="59"/>
        <v>0</v>
      </c>
    </row>
    <row r="3654" spans="12:12" x14ac:dyDescent="0.35">
      <c r="L3654" s="3">
        <f t="shared" si="59"/>
        <v>0</v>
      </c>
    </row>
    <row r="3655" spans="12:12" x14ac:dyDescent="0.35">
      <c r="L3655" s="3">
        <f t="shared" si="59"/>
        <v>0</v>
      </c>
    </row>
    <row r="3656" spans="12:12" x14ac:dyDescent="0.35">
      <c r="L3656" s="3">
        <f t="shared" si="59"/>
        <v>0</v>
      </c>
    </row>
    <row r="3657" spans="12:12" x14ac:dyDescent="0.35">
      <c r="L3657" s="3">
        <f t="shared" si="59"/>
        <v>0</v>
      </c>
    </row>
    <row r="3658" spans="12:12" x14ac:dyDescent="0.35">
      <c r="L3658" s="3">
        <f t="shared" si="59"/>
        <v>0</v>
      </c>
    </row>
    <row r="3659" spans="12:12" x14ac:dyDescent="0.35">
      <c r="L3659" s="3">
        <f t="shared" si="59"/>
        <v>0</v>
      </c>
    </row>
    <row r="3660" spans="12:12" x14ac:dyDescent="0.35">
      <c r="L3660" s="3">
        <f t="shared" si="59"/>
        <v>0</v>
      </c>
    </row>
    <row r="3661" spans="12:12" x14ac:dyDescent="0.35">
      <c r="L3661" s="3">
        <f t="shared" si="59"/>
        <v>0</v>
      </c>
    </row>
    <row r="3662" spans="12:12" x14ac:dyDescent="0.35">
      <c r="L3662" s="3">
        <f t="shared" si="59"/>
        <v>0</v>
      </c>
    </row>
    <row r="3663" spans="12:12" x14ac:dyDescent="0.35">
      <c r="L3663" s="3">
        <f t="shared" si="59"/>
        <v>0</v>
      </c>
    </row>
    <row r="3664" spans="12:12" x14ac:dyDescent="0.35">
      <c r="L3664" s="3">
        <f t="shared" si="59"/>
        <v>0</v>
      </c>
    </row>
    <row r="3665" spans="12:12" x14ac:dyDescent="0.35">
      <c r="L3665" s="3">
        <f t="shared" si="59"/>
        <v>0</v>
      </c>
    </row>
    <row r="3666" spans="12:12" x14ac:dyDescent="0.35">
      <c r="L3666" s="3">
        <f t="shared" si="59"/>
        <v>0</v>
      </c>
    </row>
    <row r="3667" spans="12:12" x14ac:dyDescent="0.35">
      <c r="L3667" s="3">
        <f t="shared" si="59"/>
        <v>0</v>
      </c>
    </row>
    <row r="3668" spans="12:12" x14ac:dyDescent="0.35">
      <c r="L3668" s="3">
        <f t="shared" si="59"/>
        <v>0</v>
      </c>
    </row>
    <row r="3669" spans="12:12" x14ac:dyDescent="0.35">
      <c r="L3669" s="3">
        <f t="shared" si="59"/>
        <v>0</v>
      </c>
    </row>
    <row r="3670" spans="12:12" x14ac:dyDescent="0.35">
      <c r="L3670" s="3">
        <f t="shared" si="59"/>
        <v>0</v>
      </c>
    </row>
    <row r="3671" spans="12:12" x14ac:dyDescent="0.35">
      <c r="L3671" s="3">
        <f t="shared" si="59"/>
        <v>0</v>
      </c>
    </row>
    <row r="3672" spans="12:12" x14ac:dyDescent="0.35">
      <c r="L3672" s="3">
        <f t="shared" si="59"/>
        <v>0</v>
      </c>
    </row>
    <row r="3673" spans="12:12" x14ac:dyDescent="0.35">
      <c r="L3673" s="3">
        <f t="shared" si="59"/>
        <v>0</v>
      </c>
    </row>
    <row r="3674" spans="12:12" x14ac:dyDescent="0.35">
      <c r="L3674" s="3">
        <f t="shared" si="59"/>
        <v>0</v>
      </c>
    </row>
    <row r="3675" spans="12:12" x14ac:dyDescent="0.35">
      <c r="L3675" s="3">
        <f t="shared" si="59"/>
        <v>0</v>
      </c>
    </row>
    <row r="3676" spans="12:12" x14ac:dyDescent="0.35">
      <c r="L3676" s="3">
        <f t="shared" si="59"/>
        <v>0</v>
      </c>
    </row>
    <row r="3677" spans="12:12" x14ac:dyDescent="0.35">
      <c r="L3677" s="3">
        <f t="shared" si="59"/>
        <v>0</v>
      </c>
    </row>
    <row r="3678" spans="12:12" x14ac:dyDescent="0.35">
      <c r="L3678" s="3">
        <f t="shared" si="59"/>
        <v>0</v>
      </c>
    </row>
    <row r="3679" spans="12:12" x14ac:dyDescent="0.35">
      <c r="L3679" s="3">
        <f t="shared" si="59"/>
        <v>0</v>
      </c>
    </row>
    <row r="3680" spans="12:12" x14ac:dyDescent="0.35">
      <c r="L3680" s="3">
        <f t="shared" si="59"/>
        <v>0</v>
      </c>
    </row>
    <row r="3681" spans="12:12" x14ac:dyDescent="0.35">
      <c r="L3681" s="3">
        <f t="shared" si="59"/>
        <v>0</v>
      </c>
    </row>
    <row r="3682" spans="12:12" x14ac:dyDescent="0.35">
      <c r="L3682" s="3">
        <f t="shared" si="59"/>
        <v>0</v>
      </c>
    </row>
    <row r="3683" spans="12:12" x14ac:dyDescent="0.35">
      <c r="L3683" s="3">
        <f t="shared" si="59"/>
        <v>0</v>
      </c>
    </row>
    <row r="3684" spans="12:12" x14ac:dyDescent="0.35">
      <c r="L3684" s="3">
        <f t="shared" si="59"/>
        <v>0</v>
      </c>
    </row>
    <row r="3685" spans="12:12" x14ac:dyDescent="0.35">
      <c r="L3685" s="3">
        <f t="shared" si="59"/>
        <v>0</v>
      </c>
    </row>
    <row r="3686" spans="12:12" x14ac:dyDescent="0.35">
      <c r="L3686" s="3">
        <f t="shared" si="59"/>
        <v>0</v>
      </c>
    </row>
    <row r="3687" spans="12:12" x14ac:dyDescent="0.35">
      <c r="L3687" s="3">
        <f t="shared" si="59"/>
        <v>0</v>
      </c>
    </row>
    <row r="3688" spans="12:12" x14ac:dyDescent="0.35">
      <c r="L3688" s="3">
        <f t="shared" si="59"/>
        <v>0</v>
      </c>
    </row>
    <row r="3689" spans="12:12" x14ac:dyDescent="0.35">
      <c r="L3689" s="3">
        <f t="shared" si="59"/>
        <v>0</v>
      </c>
    </row>
    <row r="3690" spans="12:12" x14ac:dyDescent="0.35">
      <c r="L3690" s="3">
        <f t="shared" si="59"/>
        <v>0</v>
      </c>
    </row>
    <row r="3691" spans="12:12" x14ac:dyDescent="0.35">
      <c r="L3691" s="3">
        <f t="shared" si="59"/>
        <v>0</v>
      </c>
    </row>
    <row r="3692" spans="12:12" x14ac:dyDescent="0.35">
      <c r="L3692" s="3">
        <f t="shared" si="59"/>
        <v>0</v>
      </c>
    </row>
    <row r="3693" spans="12:12" x14ac:dyDescent="0.35">
      <c r="L3693" s="3">
        <f t="shared" si="59"/>
        <v>0</v>
      </c>
    </row>
    <row r="3694" spans="12:12" x14ac:dyDescent="0.35">
      <c r="L3694" s="3">
        <f t="shared" si="59"/>
        <v>0</v>
      </c>
    </row>
    <row r="3695" spans="12:12" x14ac:dyDescent="0.35">
      <c r="L3695" s="3">
        <f t="shared" si="59"/>
        <v>0</v>
      </c>
    </row>
    <row r="3696" spans="12:12" x14ac:dyDescent="0.35">
      <c r="L3696" s="3">
        <f t="shared" si="59"/>
        <v>0</v>
      </c>
    </row>
    <row r="3697" spans="12:12" x14ac:dyDescent="0.35">
      <c r="L3697" s="3">
        <f t="shared" si="59"/>
        <v>0</v>
      </c>
    </row>
    <row r="3698" spans="12:12" x14ac:dyDescent="0.35">
      <c r="L3698" s="3">
        <f t="shared" si="59"/>
        <v>0</v>
      </c>
    </row>
    <row r="3699" spans="12:12" x14ac:dyDescent="0.35">
      <c r="L3699" s="3">
        <f t="shared" si="59"/>
        <v>0</v>
      </c>
    </row>
    <row r="3700" spans="12:12" x14ac:dyDescent="0.35">
      <c r="L3700" s="3">
        <f t="shared" si="59"/>
        <v>0</v>
      </c>
    </row>
    <row r="3701" spans="12:12" x14ac:dyDescent="0.35">
      <c r="L3701" s="3">
        <f t="shared" si="59"/>
        <v>0</v>
      </c>
    </row>
    <row r="3702" spans="12:12" x14ac:dyDescent="0.35">
      <c r="L3702" s="3">
        <f t="shared" si="59"/>
        <v>0</v>
      </c>
    </row>
    <row r="3703" spans="12:12" x14ac:dyDescent="0.35">
      <c r="L3703" s="3">
        <f t="shared" si="59"/>
        <v>0</v>
      </c>
    </row>
    <row r="3704" spans="12:12" x14ac:dyDescent="0.35">
      <c r="L3704" s="3">
        <f t="shared" si="59"/>
        <v>0</v>
      </c>
    </row>
    <row r="3705" spans="12:12" x14ac:dyDescent="0.35">
      <c r="L3705" s="3">
        <f t="shared" si="59"/>
        <v>0</v>
      </c>
    </row>
    <row r="3706" spans="12:12" x14ac:dyDescent="0.35">
      <c r="L3706" s="3">
        <f t="shared" si="59"/>
        <v>0</v>
      </c>
    </row>
    <row r="3707" spans="12:12" x14ac:dyDescent="0.35">
      <c r="L3707" s="3">
        <f t="shared" ref="L3707:L3770" si="60">K3707*C3707</f>
        <v>0</v>
      </c>
    </row>
    <row r="3708" spans="12:12" x14ac:dyDescent="0.35">
      <c r="L3708" s="3">
        <f t="shared" si="60"/>
        <v>0</v>
      </c>
    </row>
    <row r="3709" spans="12:12" x14ac:dyDescent="0.35">
      <c r="L3709" s="3">
        <f t="shared" si="60"/>
        <v>0</v>
      </c>
    </row>
    <row r="3710" spans="12:12" x14ac:dyDescent="0.35">
      <c r="L3710" s="3">
        <f t="shared" si="60"/>
        <v>0</v>
      </c>
    </row>
    <row r="3711" spans="12:12" x14ac:dyDescent="0.35">
      <c r="L3711" s="3">
        <f t="shared" si="60"/>
        <v>0</v>
      </c>
    </row>
    <row r="3712" spans="12:12" x14ac:dyDescent="0.35">
      <c r="L3712" s="3">
        <f t="shared" si="60"/>
        <v>0</v>
      </c>
    </row>
    <row r="3713" spans="12:12" x14ac:dyDescent="0.35">
      <c r="L3713" s="3">
        <f t="shared" si="60"/>
        <v>0</v>
      </c>
    </row>
    <row r="3714" spans="12:12" x14ac:dyDescent="0.35">
      <c r="L3714" s="3">
        <f t="shared" si="60"/>
        <v>0</v>
      </c>
    </row>
    <row r="3715" spans="12:12" x14ac:dyDescent="0.35">
      <c r="L3715" s="3">
        <f t="shared" si="60"/>
        <v>0</v>
      </c>
    </row>
    <row r="3716" spans="12:12" x14ac:dyDescent="0.35">
      <c r="L3716" s="3">
        <f t="shared" si="60"/>
        <v>0</v>
      </c>
    </row>
    <row r="3717" spans="12:12" x14ac:dyDescent="0.35">
      <c r="L3717" s="3">
        <f t="shared" si="60"/>
        <v>0</v>
      </c>
    </row>
    <row r="3718" spans="12:12" x14ac:dyDescent="0.35">
      <c r="L3718" s="3">
        <f t="shared" si="60"/>
        <v>0</v>
      </c>
    </row>
    <row r="3719" spans="12:12" x14ac:dyDescent="0.35">
      <c r="L3719" s="3">
        <f t="shared" si="60"/>
        <v>0</v>
      </c>
    </row>
    <row r="3720" spans="12:12" x14ac:dyDescent="0.35">
      <c r="L3720" s="3">
        <f t="shared" si="60"/>
        <v>0</v>
      </c>
    </row>
    <row r="3721" spans="12:12" x14ac:dyDescent="0.35">
      <c r="L3721" s="3">
        <f t="shared" si="60"/>
        <v>0</v>
      </c>
    </row>
    <row r="3722" spans="12:12" x14ac:dyDescent="0.35">
      <c r="L3722" s="3">
        <f t="shared" si="60"/>
        <v>0</v>
      </c>
    </row>
    <row r="3723" spans="12:12" x14ac:dyDescent="0.35">
      <c r="L3723" s="3">
        <f t="shared" si="60"/>
        <v>0</v>
      </c>
    </row>
    <row r="3724" spans="12:12" x14ac:dyDescent="0.35">
      <c r="L3724" s="3">
        <f t="shared" si="60"/>
        <v>0</v>
      </c>
    </row>
    <row r="3725" spans="12:12" x14ac:dyDescent="0.35">
      <c r="L3725" s="3">
        <f t="shared" si="60"/>
        <v>0</v>
      </c>
    </row>
    <row r="3726" spans="12:12" x14ac:dyDescent="0.35">
      <c r="L3726" s="3">
        <f t="shared" si="60"/>
        <v>0</v>
      </c>
    </row>
    <row r="3727" spans="12:12" x14ac:dyDescent="0.35">
      <c r="L3727" s="3">
        <f t="shared" si="60"/>
        <v>0</v>
      </c>
    </row>
    <row r="3728" spans="12:12" x14ac:dyDescent="0.35">
      <c r="L3728" s="3">
        <f t="shared" si="60"/>
        <v>0</v>
      </c>
    </row>
    <row r="3729" spans="12:12" x14ac:dyDescent="0.35">
      <c r="L3729" s="3">
        <f t="shared" si="60"/>
        <v>0</v>
      </c>
    </row>
    <row r="3730" spans="12:12" x14ac:dyDescent="0.35">
      <c r="L3730" s="3">
        <f t="shared" si="60"/>
        <v>0</v>
      </c>
    </row>
    <row r="3731" spans="12:12" x14ac:dyDescent="0.35">
      <c r="L3731" s="3">
        <f t="shared" si="60"/>
        <v>0</v>
      </c>
    </row>
    <row r="3732" spans="12:12" x14ac:dyDescent="0.35">
      <c r="L3732" s="3">
        <f t="shared" si="60"/>
        <v>0</v>
      </c>
    </row>
    <row r="3733" spans="12:12" x14ac:dyDescent="0.35">
      <c r="L3733" s="3">
        <f t="shared" si="60"/>
        <v>0</v>
      </c>
    </row>
    <row r="3734" spans="12:12" x14ac:dyDescent="0.35">
      <c r="L3734" s="3">
        <f t="shared" si="60"/>
        <v>0</v>
      </c>
    </row>
    <row r="3735" spans="12:12" x14ac:dyDescent="0.35">
      <c r="L3735" s="3">
        <f t="shared" si="60"/>
        <v>0</v>
      </c>
    </row>
    <row r="3736" spans="12:12" x14ac:dyDescent="0.35">
      <c r="L3736" s="3">
        <f t="shared" si="60"/>
        <v>0</v>
      </c>
    </row>
    <row r="3737" spans="12:12" x14ac:dyDescent="0.35">
      <c r="L3737" s="3">
        <f t="shared" si="60"/>
        <v>0</v>
      </c>
    </row>
    <row r="3738" spans="12:12" x14ac:dyDescent="0.35">
      <c r="L3738" s="3">
        <f t="shared" si="60"/>
        <v>0</v>
      </c>
    </row>
    <row r="3739" spans="12:12" x14ac:dyDescent="0.35">
      <c r="L3739" s="3">
        <f t="shared" si="60"/>
        <v>0</v>
      </c>
    </row>
    <row r="3740" spans="12:12" x14ac:dyDescent="0.35">
      <c r="L3740" s="3">
        <f t="shared" si="60"/>
        <v>0</v>
      </c>
    </row>
    <row r="3741" spans="12:12" x14ac:dyDescent="0.35">
      <c r="L3741" s="3">
        <f t="shared" si="60"/>
        <v>0</v>
      </c>
    </row>
    <row r="3742" spans="12:12" x14ac:dyDescent="0.35">
      <c r="L3742" s="3">
        <f t="shared" si="60"/>
        <v>0</v>
      </c>
    </row>
    <row r="3743" spans="12:12" x14ac:dyDescent="0.35">
      <c r="L3743" s="3">
        <f t="shared" si="60"/>
        <v>0</v>
      </c>
    </row>
    <row r="3744" spans="12:12" x14ac:dyDescent="0.35">
      <c r="L3744" s="3">
        <f t="shared" si="60"/>
        <v>0</v>
      </c>
    </row>
    <row r="3745" spans="12:12" x14ac:dyDescent="0.35">
      <c r="L3745" s="3">
        <f t="shared" si="60"/>
        <v>0</v>
      </c>
    </row>
    <row r="3746" spans="12:12" x14ac:dyDescent="0.35">
      <c r="L3746" s="3">
        <f t="shared" si="60"/>
        <v>0</v>
      </c>
    </row>
    <row r="3747" spans="12:12" x14ac:dyDescent="0.35">
      <c r="L3747" s="3">
        <f t="shared" si="60"/>
        <v>0</v>
      </c>
    </row>
    <row r="3748" spans="12:12" x14ac:dyDescent="0.35">
      <c r="L3748" s="3">
        <f t="shared" si="60"/>
        <v>0</v>
      </c>
    </row>
    <row r="3749" spans="12:12" x14ac:dyDescent="0.35">
      <c r="L3749" s="3">
        <f t="shared" si="60"/>
        <v>0</v>
      </c>
    </row>
    <row r="3750" spans="12:12" x14ac:dyDescent="0.35">
      <c r="L3750" s="3">
        <f t="shared" si="60"/>
        <v>0</v>
      </c>
    </row>
    <row r="3751" spans="12:12" x14ac:dyDescent="0.35">
      <c r="L3751" s="3">
        <f t="shared" si="60"/>
        <v>0</v>
      </c>
    </row>
    <row r="3752" spans="12:12" x14ac:dyDescent="0.35">
      <c r="L3752" s="3">
        <f t="shared" si="60"/>
        <v>0</v>
      </c>
    </row>
    <row r="3753" spans="12:12" x14ac:dyDescent="0.35">
      <c r="L3753" s="3">
        <f t="shared" si="60"/>
        <v>0</v>
      </c>
    </row>
    <row r="3754" spans="12:12" x14ac:dyDescent="0.35">
      <c r="L3754" s="3">
        <f t="shared" si="60"/>
        <v>0</v>
      </c>
    </row>
    <row r="3755" spans="12:12" x14ac:dyDescent="0.35">
      <c r="L3755" s="3">
        <f t="shared" si="60"/>
        <v>0</v>
      </c>
    </row>
    <row r="3756" spans="12:12" x14ac:dyDescent="0.35">
      <c r="L3756" s="3">
        <f t="shared" si="60"/>
        <v>0</v>
      </c>
    </row>
    <row r="3757" spans="12:12" x14ac:dyDescent="0.35">
      <c r="L3757" s="3">
        <f t="shared" si="60"/>
        <v>0</v>
      </c>
    </row>
    <row r="3758" spans="12:12" x14ac:dyDescent="0.35">
      <c r="L3758" s="3">
        <f t="shared" si="60"/>
        <v>0</v>
      </c>
    </row>
    <row r="3759" spans="12:12" x14ac:dyDescent="0.35">
      <c r="L3759" s="3">
        <f t="shared" si="60"/>
        <v>0</v>
      </c>
    </row>
    <row r="3760" spans="12:12" x14ac:dyDescent="0.35">
      <c r="L3760" s="3">
        <f t="shared" si="60"/>
        <v>0</v>
      </c>
    </row>
    <row r="3761" spans="12:12" x14ac:dyDescent="0.35">
      <c r="L3761" s="3">
        <f t="shared" si="60"/>
        <v>0</v>
      </c>
    </row>
    <row r="3762" spans="12:12" x14ac:dyDescent="0.35">
      <c r="L3762" s="3">
        <f t="shared" si="60"/>
        <v>0</v>
      </c>
    </row>
    <row r="3763" spans="12:12" x14ac:dyDescent="0.35">
      <c r="L3763" s="3">
        <f t="shared" si="60"/>
        <v>0</v>
      </c>
    </row>
    <row r="3764" spans="12:12" x14ac:dyDescent="0.35">
      <c r="L3764" s="3">
        <f t="shared" si="60"/>
        <v>0</v>
      </c>
    </row>
    <row r="3765" spans="12:12" x14ac:dyDescent="0.35">
      <c r="L3765" s="3">
        <f t="shared" si="60"/>
        <v>0</v>
      </c>
    </row>
    <row r="3766" spans="12:12" x14ac:dyDescent="0.35">
      <c r="L3766" s="3">
        <f t="shared" si="60"/>
        <v>0</v>
      </c>
    </row>
    <row r="3767" spans="12:12" x14ac:dyDescent="0.35">
      <c r="L3767" s="3">
        <f t="shared" si="60"/>
        <v>0</v>
      </c>
    </row>
    <row r="3768" spans="12:12" x14ac:dyDescent="0.35">
      <c r="L3768" s="3">
        <f t="shared" si="60"/>
        <v>0</v>
      </c>
    </row>
    <row r="3769" spans="12:12" x14ac:dyDescent="0.35">
      <c r="L3769" s="3">
        <f t="shared" si="60"/>
        <v>0</v>
      </c>
    </row>
    <row r="3770" spans="12:12" x14ac:dyDescent="0.35">
      <c r="L3770" s="3">
        <f t="shared" si="60"/>
        <v>0</v>
      </c>
    </row>
    <row r="3771" spans="12:12" x14ac:dyDescent="0.35">
      <c r="L3771" s="3">
        <f t="shared" ref="L3771:L3834" si="61">K3771*C3771</f>
        <v>0</v>
      </c>
    </row>
    <row r="3772" spans="12:12" x14ac:dyDescent="0.35">
      <c r="L3772" s="3">
        <f t="shared" si="61"/>
        <v>0</v>
      </c>
    </row>
    <row r="3773" spans="12:12" x14ac:dyDescent="0.35">
      <c r="L3773" s="3">
        <f t="shared" si="61"/>
        <v>0</v>
      </c>
    </row>
    <row r="3774" spans="12:12" x14ac:dyDescent="0.35">
      <c r="L3774" s="3">
        <f t="shared" si="61"/>
        <v>0</v>
      </c>
    </row>
    <row r="3775" spans="12:12" x14ac:dyDescent="0.35">
      <c r="L3775" s="3">
        <f t="shared" si="61"/>
        <v>0</v>
      </c>
    </row>
    <row r="3776" spans="12:12" x14ac:dyDescent="0.35">
      <c r="L3776" s="3">
        <f t="shared" si="61"/>
        <v>0</v>
      </c>
    </row>
    <row r="3777" spans="12:12" x14ac:dyDescent="0.35">
      <c r="L3777" s="3">
        <f t="shared" si="61"/>
        <v>0</v>
      </c>
    </row>
    <row r="3778" spans="12:12" x14ac:dyDescent="0.35">
      <c r="L3778" s="3">
        <f t="shared" si="61"/>
        <v>0</v>
      </c>
    </row>
    <row r="3779" spans="12:12" x14ac:dyDescent="0.35">
      <c r="L3779" s="3">
        <f t="shared" si="61"/>
        <v>0</v>
      </c>
    </row>
    <row r="3780" spans="12:12" x14ac:dyDescent="0.35">
      <c r="L3780" s="3">
        <f t="shared" si="61"/>
        <v>0</v>
      </c>
    </row>
    <row r="3781" spans="12:12" x14ac:dyDescent="0.35">
      <c r="L3781" s="3">
        <f t="shared" si="61"/>
        <v>0</v>
      </c>
    </row>
    <row r="3782" spans="12:12" x14ac:dyDescent="0.35">
      <c r="L3782" s="3">
        <f t="shared" si="61"/>
        <v>0</v>
      </c>
    </row>
    <row r="3783" spans="12:12" x14ac:dyDescent="0.35">
      <c r="L3783" s="3">
        <f t="shared" si="61"/>
        <v>0</v>
      </c>
    </row>
    <row r="3784" spans="12:12" x14ac:dyDescent="0.35">
      <c r="L3784" s="3">
        <f t="shared" si="61"/>
        <v>0</v>
      </c>
    </row>
    <row r="3785" spans="12:12" x14ac:dyDescent="0.35">
      <c r="L3785" s="3">
        <f t="shared" si="61"/>
        <v>0</v>
      </c>
    </row>
    <row r="3786" spans="12:12" x14ac:dyDescent="0.35">
      <c r="L3786" s="3">
        <f t="shared" si="61"/>
        <v>0</v>
      </c>
    </row>
    <row r="3787" spans="12:12" x14ac:dyDescent="0.35">
      <c r="L3787" s="3">
        <f t="shared" si="61"/>
        <v>0</v>
      </c>
    </row>
    <row r="3788" spans="12:12" x14ac:dyDescent="0.35">
      <c r="L3788" s="3">
        <f t="shared" si="61"/>
        <v>0</v>
      </c>
    </row>
    <row r="3789" spans="12:12" x14ac:dyDescent="0.35">
      <c r="L3789" s="3">
        <f t="shared" si="61"/>
        <v>0</v>
      </c>
    </row>
    <row r="3790" spans="12:12" x14ac:dyDescent="0.35">
      <c r="L3790" s="3">
        <f t="shared" si="61"/>
        <v>0</v>
      </c>
    </row>
    <row r="3791" spans="12:12" x14ac:dyDescent="0.35">
      <c r="L3791" s="3">
        <f t="shared" si="61"/>
        <v>0</v>
      </c>
    </row>
    <row r="3792" spans="12:12" x14ac:dyDescent="0.35">
      <c r="L3792" s="3">
        <f t="shared" si="61"/>
        <v>0</v>
      </c>
    </row>
    <row r="3793" spans="12:12" x14ac:dyDescent="0.35">
      <c r="L3793" s="3">
        <f t="shared" si="61"/>
        <v>0</v>
      </c>
    </row>
    <row r="3794" spans="12:12" x14ac:dyDescent="0.35">
      <c r="L3794" s="3">
        <f t="shared" si="61"/>
        <v>0</v>
      </c>
    </row>
    <row r="3795" spans="12:12" x14ac:dyDescent="0.35">
      <c r="L3795" s="3">
        <f t="shared" si="61"/>
        <v>0</v>
      </c>
    </row>
    <row r="3796" spans="12:12" x14ac:dyDescent="0.35">
      <c r="L3796" s="3">
        <f t="shared" si="61"/>
        <v>0</v>
      </c>
    </row>
    <row r="3797" spans="12:12" x14ac:dyDescent="0.35">
      <c r="L3797" s="3">
        <f t="shared" si="61"/>
        <v>0</v>
      </c>
    </row>
    <row r="3798" spans="12:12" x14ac:dyDescent="0.35">
      <c r="L3798" s="3">
        <f t="shared" si="61"/>
        <v>0</v>
      </c>
    </row>
    <row r="3799" spans="12:12" x14ac:dyDescent="0.35">
      <c r="L3799" s="3">
        <f t="shared" si="61"/>
        <v>0</v>
      </c>
    </row>
    <row r="3800" spans="12:12" x14ac:dyDescent="0.35">
      <c r="L3800" s="3">
        <f t="shared" si="61"/>
        <v>0</v>
      </c>
    </row>
    <row r="3801" spans="12:12" x14ac:dyDescent="0.35">
      <c r="L3801" s="3">
        <f t="shared" si="61"/>
        <v>0</v>
      </c>
    </row>
    <row r="3802" spans="12:12" x14ac:dyDescent="0.35">
      <c r="L3802" s="3">
        <f t="shared" si="61"/>
        <v>0</v>
      </c>
    </row>
    <row r="3803" spans="12:12" x14ac:dyDescent="0.35">
      <c r="L3803" s="3">
        <f t="shared" si="61"/>
        <v>0</v>
      </c>
    </row>
    <row r="3804" spans="12:12" x14ac:dyDescent="0.35">
      <c r="L3804" s="3">
        <f t="shared" si="61"/>
        <v>0</v>
      </c>
    </row>
    <row r="3805" spans="12:12" x14ac:dyDescent="0.35">
      <c r="L3805" s="3">
        <f t="shared" si="61"/>
        <v>0</v>
      </c>
    </row>
    <row r="3806" spans="12:12" x14ac:dyDescent="0.35">
      <c r="L3806" s="3">
        <f t="shared" si="61"/>
        <v>0</v>
      </c>
    </row>
    <row r="3807" spans="12:12" x14ac:dyDescent="0.35">
      <c r="L3807" s="3">
        <f t="shared" si="61"/>
        <v>0</v>
      </c>
    </row>
    <row r="3808" spans="12:12" x14ac:dyDescent="0.35">
      <c r="L3808" s="3">
        <f t="shared" si="61"/>
        <v>0</v>
      </c>
    </row>
    <row r="3809" spans="12:12" x14ac:dyDescent="0.35">
      <c r="L3809" s="3">
        <f t="shared" si="61"/>
        <v>0</v>
      </c>
    </row>
    <row r="3810" spans="12:12" x14ac:dyDescent="0.35">
      <c r="L3810" s="3">
        <f t="shared" si="61"/>
        <v>0</v>
      </c>
    </row>
    <row r="3811" spans="12:12" x14ac:dyDescent="0.35">
      <c r="L3811" s="3">
        <f t="shared" si="61"/>
        <v>0</v>
      </c>
    </row>
    <row r="3812" spans="12:12" x14ac:dyDescent="0.35">
      <c r="L3812" s="3">
        <f t="shared" si="61"/>
        <v>0</v>
      </c>
    </row>
    <row r="3813" spans="12:12" x14ac:dyDescent="0.35">
      <c r="L3813" s="3">
        <f t="shared" si="61"/>
        <v>0</v>
      </c>
    </row>
    <row r="3814" spans="12:12" x14ac:dyDescent="0.35">
      <c r="L3814" s="3">
        <f t="shared" si="61"/>
        <v>0</v>
      </c>
    </row>
    <row r="3815" spans="12:12" x14ac:dyDescent="0.35">
      <c r="L3815" s="3">
        <f t="shared" si="61"/>
        <v>0</v>
      </c>
    </row>
    <row r="3816" spans="12:12" x14ac:dyDescent="0.35">
      <c r="L3816" s="3">
        <f t="shared" si="61"/>
        <v>0</v>
      </c>
    </row>
    <row r="3817" spans="12:12" x14ac:dyDescent="0.35">
      <c r="L3817" s="3">
        <f t="shared" si="61"/>
        <v>0</v>
      </c>
    </row>
    <row r="3818" spans="12:12" x14ac:dyDescent="0.35">
      <c r="L3818" s="3">
        <f t="shared" si="61"/>
        <v>0</v>
      </c>
    </row>
    <row r="3819" spans="12:12" x14ac:dyDescent="0.35">
      <c r="L3819" s="3">
        <f t="shared" si="61"/>
        <v>0</v>
      </c>
    </row>
    <row r="3820" spans="12:12" x14ac:dyDescent="0.35">
      <c r="L3820" s="3">
        <f t="shared" si="61"/>
        <v>0</v>
      </c>
    </row>
    <row r="3821" spans="12:12" x14ac:dyDescent="0.35">
      <c r="L3821" s="3">
        <f t="shared" si="61"/>
        <v>0</v>
      </c>
    </row>
    <row r="3822" spans="12:12" x14ac:dyDescent="0.35">
      <c r="L3822" s="3">
        <f t="shared" si="61"/>
        <v>0</v>
      </c>
    </row>
    <row r="3823" spans="12:12" x14ac:dyDescent="0.35">
      <c r="L3823" s="3">
        <f t="shared" si="61"/>
        <v>0</v>
      </c>
    </row>
    <row r="3824" spans="12:12" x14ac:dyDescent="0.35">
      <c r="L3824" s="3">
        <f t="shared" si="61"/>
        <v>0</v>
      </c>
    </row>
    <row r="3825" spans="12:12" x14ac:dyDescent="0.35">
      <c r="L3825" s="3">
        <f t="shared" si="61"/>
        <v>0</v>
      </c>
    </row>
    <row r="3826" spans="12:12" x14ac:dyDescent="0.35">
      <c r="L3826" s="3">
        <f t="shared" si="61"/>
        <v>0</v>
      </c>
    </row>
    <row r="3827" spans="12:12" x14ac:dyDescent="0.35">
      <c r="L3827" s="3">
        <f t="shared" si="61"/>
        <v>0</v>
      </c>
    </row>
    <row r="3828" spans="12:12" x14ac:dyDescent="0.35">
      <c r="L3828" s="3">
        <f t="shared" si="61"/>
        <v>0</v>
      </c>
    </row>
    <row r="3829" spans="12:12" x14ac:dyDescent="0.35">
      <c r="L3829" s="3">
        <f t="shared" si="61"/>
        <v>0</v>
      </c>
    </row>
    <row r="3830" spans="12:12" x14ac:dyDescent="0.35">
      <c r="L3830" s="3">
        <f t="shared" si="61"/>
        <v>0</v>
      </c>
    </row>
    <row r="3831" spans="12:12" x14ac:dyDescent="0.35">
      <c r="L3831" s="3">
        <f t="shared" si="61"/>
        <v>0</v>
      </c>
    </row>
    <row r="3832" spans="12:12" x14ac:dyDescent="0.35">
      <c r="L3832" s="3">
        <f t="shared" si="61"/>
        <v>0</v>
      </c>
    </row>
    <row r="3833" spans="12:12" x14ac:dyDescent="0.35">
      <c r="L3833" s="3">
        <f t="shared" si="61"/>
        <v>0</v>
      </c>
    </row>
    <row r="3834" spans="12:12" x14ac:dyDescent="0.35">
      <c r="L3834" s="3">
        <f t="shared" si="61"/>
        <v>0</v>
      </c>
    </row>
    <row r="3835" spans="12:12" x14ac:dyDescent="0.35">
      <c r="L3835" s="3">
        <f t="shared" ref="L3835:L3898" si="62">K3835*C3835</f>
        <v>0</v>
      </c>
    </row>
    <row r="3836" spans="12:12" x14ac:dyDescent="0.35">
      <c r="L3836" s="3">
        <f t="shared" si="62"/>
        <v>0</v>
      </c>
    </row>
    <row r="3837" spans="12:12" x14ac:dyDescent="0.35">
      <c r="L3837" s="3">
        <f t="shared" si="62"/>
        <v>0</v>
      </c>
    </row>
    <row r="3838" spans="12:12" x14ac:dyDescent="0.35">
      <c r="L3838" s="3">
        <f t="shared" si="62"/>
        <v>0</v>
      </c>
    </row>
    <row r="3839" spans="12:12" x14ac:dyDescent="0.35">
      <c r="L3839" s="3">
        <f t="shared" si="62"/>
        <v>0</v>
      </c>
    </row>
    <row r="3840" spans="12:12" x14ac:dyDescent="0.35">
      <c r="L3840" s="3">
        <f t="shared" si="62"/>
        <v>0</v>
      </c>
    </row>
    <row r="3841" spans="12:12" x14ac:dyDescent="0.35">
      <c r="L3841" s="3">
        <f t="shared" si="62"/>
        <v>0</v>
      </c>
    </row>
    <row r="3842" spans="12:12" x14ac:dyDescent="0.35">
      <c r="L3842" s="3">
        <f t="shared" si="62"/>
        <v>0</v>
      </c>
    </row>
    <row r="3843" spans="12:12" x14ac:dyDescent="0.35">
      <c r="L3843" s="3">
        <f t="shared" si="62"/>
        <v>0</v>
      </c>
    </row>
    <row r="3844" spans="12:12" x14ac:dyDescent="0.35">
      <c r="L3844" s="3">
        <f t="shared" si="62"/>
        <v>0</v>
      </c>
    </row>
    <row r="3845" spans="12:12" x14ac:dyDescent="0.35">
      <c r="L3845" s="3">
        <f t="shared" si="62"/>
        <v>0</v>
      </c>
    </row>
    <row r="3846" spans="12:12" x14ac:dyDescent="0.35">
      <c r="L3846" s="3">
        <f t="shared" si="62"/>
        <v>0</v>
      </c>
    </row>
    <row r="3847" spans="12:12" x14ac:dyDescent="0.35">
      <c r="L3847" s="3">
        <f t="shared" si="62"/>
        <v>0</v>
      </c>
    </row>
    <row r="3848" spans="12:12" x14ac:dyDescent="0.35">
      <c r="L3848" s="3">
        <f t="shared" si="62"/>
        <v>0</v>
      </c>
    </row>
    <row r="3849" spans="12:12" x14ac:dyDescent="0.35">
      <c r="L3849" s="3">
        <f t="shared" si="62"/>
        <v>0</v>
      </c>
    </row>
    <row r="3850" spans="12:12" x14ac:dyDescent="0.35">
      <c r="L3850" s="3">
        <f t="shared" si="62"/>
        <v>0</v>
      </c>
    </row>
    <row r="3851" spans="12:12" x14ac:dyDescent="0.35">
      <c r="L3851" s="3">
        <f t="shared" si="62"/>
        <v>0</v>
      </c>
    </row>
    <row r="3852" spans="12:12" x14ac:dyDescent="0.35">
      <c r="L3852" s="3">
        <f t="shared" si="62"/>
        <v>0</v>
      </c>
    </row>
    <row r="3853" spans="12:12" x14ac:dyDescent="0.35">
      <c r="L3853" s="3">
        <f t="shared" si="62"/>
        <v>0</v>
      </c>
    </row>
    <row r="3854" spans="12:12" x14ac:dyDescent="0.35">
      <c r="L3854" s="3">
        <f t="shared" si="62"/>
        <v>0</v>
      </c>
    </row>
    <row r="3855" spans="12:12" x14ac:dyDescent="0.35">
      <c r="L3855" s="3">
        <f t="shared" si="62"/>
        <v>0</v>
      </c>
    </row>
    <row r="3856" spans="12:12" x14ac:dyDescent="0.35">
      <c r="L3856" s="3">
        <f t="shared" si="62"/>
        <v>0</v>
      </c>
    </row>
    <row r="3857" spans="12:12" x14ac:dyDescent="0.35">
      <c r="L3857" s="3">
        <f t="shared" si="62"/>
        <v>0</v>
      </c>
    </row>
    <row r="3858" spans="12:12" x14ac:dyDescent="0.35">
      <c r="L3858" s="3">
        <f t="shared" si="62"/>
        <v>0</v>
      </c>
    </row>
    <row r="3859" spans="12:12" x14ac:dyDescent="0.35">
      <c r="L3859" s="3">
        <f t="shared" si="62"/>
        <v>0</v>
      </c>
    </row>
    <row r="3860" spans="12:12" x14ac:dyDescent="0.35">
      <c r="L3860" s="3">
        <f t="shared" si="62"/>
        <v>0</v>
      </c>
    </row>
    <row r="3861" spans="12:12" x14ac:dyDescent="0.35">
      <c r="L3861" s="3">
        <f t="shared" si="62"/>
        <v>0</v>
      </c>
    </row>
    <row r="3862" spans="12:12" x14ac:dyDescent="0.35">
      <c r="L3862" s="3">
        <f t="shared" si="62"/>
        <v>0</v>
      </c>
    </row>
    <row r="3863" spans="12:12" x14ac:dyDescent="0.35">
      <c r="L3863" s="3">
        <f t="shared" si="62"/>
        <v>0</v>
      </c>
    </row>
    <row r="3864" spans="12:12" x14ac:dyDescent="0.35">
      <c r="L3864" s="3">
        <f t="shared" si="62"/>
        <v>0</v>
      </c>
    </row>
    <row r="3865" spans="12:12" x14ac:dyDescent="0.35">
      <c r="L3865" s="3">
        <f t="shared" si="62"/>
        <v>0</v>
      </c>
    </row>
    <row r="3866" spans="12:12" x14ac:dyDescent="0.35">
      <c r="L3866" s="3">
        <f t="shared" si="62"/>
        <v>0</v>
      </c>
    </row>
    <row r="3867" spans="12:12" x14ac:dyDescent="0.35">
      <c r="L3867" s="3">
        <f t="shared" si="62"/>
        <v>0</v>
      </c>
    </row>
    <row r="3868" spans="12:12" x14ac:dyDescent="0.35">
      <c r="L3868" s="3">
        <f t="shared" si="62"/>
        <v>0</v>
      </c>
    </row>
    <row r="3869" spans="12:12" x14ac:dyDescent="0.35">
      <c r="L3869" s="3">
        <f t="shared" si="62"/>
        <v>0</v>
      </c>
    </row>
    <row r="3870" spans="12:12" x14ac:dyDescent="0.35">
      <c r="L3870" s="3">
        <f t="shared" si="62"/>
        <v>0</v>
      </c>
    </row>
    <row r="3871" spans="12:12" x14ac:dyDescent="0.35">
      <c r="L3871" s="3">
        <f t="shared" si="62"/>
        <v>0</v>
      </c>
    </row>
    <row r="3872" spans="12:12" x14ac:dyDescent="0.35">
      <c r="L3872" s="3">
        <f t="shared" si="62"/>
        <v>0</v>
      </c>
    </row>
    <row r="3873" spans="12:12" x14ac:dyDescent="0.35">
      <c r="L3873" s="3">
        <f t="shared" si="62"/>
        <v>0</v>
      </c>
    </row>
    <row r="3874" spans="12:12" x14ac:dyDescent="0.35">
      <c r="L3874" s="3">
        <f t="shared" si="62"/>
        <v>0</v>
      </c>
    </row>
    <row r="3875" spans="12:12" x14ac:dyDescent="0.35">
      <c r="L3875" s="3">
        <f t="shared" si="62"/>
        <v>0</v>
      </c>
    </row>
    <row r="3876" spans="12:12" x14ac:dyDescent="0.35">
      <c r="L3876" s="3">
        <f t="shared" si="62"/>
        <v>0</v>
      </c>
    </row>
    <row r="3877" spans="12:12" x14ac:dyDescent="0.35">
      <c r="L3877" s="3">
        <f t="shared" si="62"/>
        <v>0</v>
      </c>
    </row>
    <row r="3878" spans="12:12" x14ac:dyDescent="0.35">
      <c r="L3878" s="3">
        <f t="shared" si="62"/>
        <v>0</v>
      </c>
    </row>
    <row r="3879" spans="12:12" x14ac:dyDescent="0.35">
      <c r="L3879" s="3">
        <f t="shared" si="62"/>
        <v>0</v>
      </c>
    </row>
    <row r="3880" spans="12:12" x14ac:dyDescent="0.35">
      <c r="L3880" s="3">
        <f t="shared" si="62"/>
        <v>0</v>
      </c>
    </row>
    <row r="3881" spans="12:12" x14ac:dyDescent="0.35">
      <c r="L3881" s="3">
        <f t="shared" si="62"/>
        <v>0</v>
      </c>
    </row>
    <row r="3882" spans="12:12" x14ac:dyDescent="0.35">
      <c r="L3882" s="3">
        <f t="shared" si="62"/>
        <v>0</v>
      </c>
    </row>
    <row r="3883" spans="12:12" x14ac:dyDescent="0.35">
      <c r="L3883" s="3">
        <f t="shared" si="62"/>
        <v>0</v>
      </c>
    </row>
    <row r="3884" spans="12:12" x14ac:dyDescent="0.35">
      <c r="L3884" s="3">
        <f t="shared" si="62"/>
        <v>0</v>
      </c>
    </row>
    <row r="3885" spans="12:12" x14ac:dyDescent="0.35">
      <c r="L3885" s="3">
        <f t="shared" si="62"/>
        <v>0</v>
      </c>
    </row>
    <row r="3886" spans="12:12" x14ac:dyDescent="0.35">
      <c r="L3886" s="3">
        <f t="shared" si="62"/>
        <v>0</v>
      </c>
    </row>
    <row r="3887" spans="12:12" x14ac:dyDescent="0.35">
      <c r="L3887" s="3">
        <f t="shared" si="62"/>
        <v>0</v>
      </c>
    </row>
    <row r="3888" spans="12:12" x14ac:dyDescent="0.35">
      <c r="L3888" s="3">
        <f t="shared" si="62"/>
        <v>0</v>
      </c>
    </row>
    <row r="3889" spans="12:12" x14ac:dyDescent="0.35">
      <c r="L3889" s="3">
        <f t="shared" si="62"/>
        <v>0</v>
      </c>
    </row>
    <row r="3890" spans="12:12" x14ac:dyDescent="0.35">
      <c r="L3890" s="3">
        <f t="shared" si="62"/>
        <v>0</v>
      </c>
    </row>
    <row r="3891" spans="12:12" x14ac:dyDescent="0.35">
      <c r="L3891" s="3">
        <f t="shared" si="62"/>
        <v>0</v>
      </c>
    </row>
    <row r="3892" spans="12:12" x14ac:dyDescent="0.35">
      <c r="L3892" s="3">
        <f t="shared" si="62"/>
        <v>0</v>
      </c>
    </row>
    <row r="3893" spans="12:12" x14ac:dyDescent="0.35">
      <c r="L3893" s="3">
        <f t="shared" si="62"/>
        <v>0</v>
      </c>
    </row>
    <row r="3894" spans="12:12" x14ac:dyDescent="0.35">
      <c r="L3894" s="3">
        <f t="shared" si="62"/>
        <v>0</v>
      </c>
    </row>
    <row r="3895" spans="12:12" x14ac:dyDescent="0.35">
      <c r="L3895" s="3">
        <f t="shared" si="62"/>
        <v>0</v>
      </c>
    </row>
    <row r="3896" spans="12:12" x14ac:dyDescent="0.35">
      <c r="L3896" s="3">
        <f t="shared" si="62"/>
        <v>0</v>
      </c>
    </row>
    <row r="3897" spans="12:12" x14ac:dyDescent="0.35">
      <c r="L3897" s="3">
        <f t="shared" si="62"/>
        <v>0</v>
      </c>
    </row>
    <row r="3898" spans="12:12" x14ac:dyDescent="0.35">
      <c r="L3898" s="3">
        <f t="shared" si="62"/>
        <v>0</v>
      </c>
    </row>
    <row r="3899" spans="12:12" x14ac:dyDescent="0.35">
      <c r="L3899" s="3">
        <f t="shared" ref="L3899:L3962" si="63">K3899*C3899</f>
        <v>0</v>
      </c>
    </row>
    <row r="3900" spans="12:12" x14ac:dyDescent="0.35">
      <c r="L3900" s="3">
        <f t="shared" si="63"/>
        <v>0</v>
      </c>
    </row>
    <row r="3901" spans="12:12" x14ac:dyDescent="0.35">
      <c r="L3901" s="3">
        <f t="shared" si="63"/>
        <v>0</v>
      </c>
    </row>
    <row r="3902" spans="12:12" x14ac:dyDescent="0.35">
      <c r="L3902" s="3">
        <f t="shared" si="63"/>
        <v>0</v>
      </c>
    </row>
    <row r="3903" spans="12:12" x14ac:dyDescent="0.35">
      <c r="L3903" s="3">
        <f t="shared" si="63"/>
        <v>0</v>
      </c>
    </row>
    <row r="3904" spans="12:12" x14ac:dyDescent="0.35">
      <c r="L3904" s="3">
        <f t="shared" si="63"/>
        <v>0</v>
      </c>
    </row>
    <row r="3905" spans="12:12" x14ac:dyDescent="0.35">
      <c r="L3905" s="3">
        <f t="shared" si="63"/>
        <v>0</v>
      </c>
    </row>
    <row r="3906" spans="12:12" x14ac:dyDescent="0.35">
      <c r="L3906" s="3">
        <f t="shared" si="63"/>
        <v>0</v>
      </c>
    </row>
    <row r="3907" spans="12:12" x14ac:dyDescent="0.35">
      <c r="L3907" s="3">
        <f t="shared" si="63"/>
        <v>0</v>
      </c>
    </row>
    <row r="3908" spans="12:12" x14ac:dyDescent="0.35">
      <c r="L3908" s="3">
        <f t="shared" si="63"/>
        <v>0</v>
      </c>
    </row>
    <row r="3909" spans="12:12" x14ac:dyDescent="0.35">
      <c r="L3909" s="3">
        <f t="shared" si="63"/>
        <v>0</v>
      </c>
    </row>
    <row r="3910" spans="12:12" x14ac:dyDescent="0.35">
      <c r="L3910" s="3">
        <f t="shared" si="63"/>
        <v>0</v>
      </c>
    </row>
    <row r="3911" spans="12:12" x14ac:dyDescent="0.35">
      <c r="L3911" s="3">
        <f t="shared" si="63"/>
        <v>0</v>
      </c>
    </row>
    <row r="3912" spans="12:12" x14ac:dyDescent="0.35">
      <c r="L3912" s="3">
        <f t="shared" si="63"/>
        <v>0</v>
      </c>
    </row>
    <row r="3913" spans="12:12" x14ac:dyDescent="0.35">
      <c r="L3913" s="3">
        <f t="shared" si="63"/>
        <v>0</v>
      </c>
    </row>
    <row r="3914" spans="12:12" x14ac:dyDescent="0.35">
      <c r="L3914" s="3">
        <f t="shared" si="63"/>
        <v>0</v>
      </c>
    </row>
    <row r="3915" spans="12:12" x14ac:dyDescent="0.35">
      <c r="L3915" s="3">
        <f t="shared" si="63"/>
        <v>0</v>
      </c>
    </row>
    <row r="3916" spans="12:12" x14ac:dyDescent="0.35">
      <c r="L3916" s="3">
        <f t="shared" si="63"/>
        <v>0</v>
      </c>
    </row>
    <row r="3917" spans="12:12" x14ac:dyDescent="0.35">
      <c r="L3917" s="3">
        <f t="shared" si="63"/>
        <v>0</v>
      </c>
    </row>
    <row r="3918" spans="12:12" x14ac:dyDescent="0.35">
      <c r="L3918" s="3">
        <f t="shared" si="63"/>
        <v>0</v>
      </c>
    </row>
    <row r="3919" spans="12:12" x14ac:dyDescent="0.35">
      <c r="L3919" s="3">
        <f t="shared" si="63"/>
        <v>0</v>
      </c>
    </row>
    <row r="3920" spans="12:12" x14ac:dyDescent="0.35">
      <c r="L3920" s="3">
        <f t="shared" si="63"/>
        <v>0</v>
      </c>
    </row>
    <row r="3921" spans="12:12" x14ac:dyDescent="0.35">
      <c r="L3921" s="3">
        <f t="shared" si="63"/>
        <v>0</v>
      </c>
    </row>
    <row r="3922" spans="12:12" x14ac:dyDescent="0.35">
      <c r="L3922" s="3">
        <f t="shared" si="63"/>
        <v>0</v>
      </c>
    </row>
    <row r="3923" spans="12:12" x14ac:dyDescent="0.35">
      <c r="L3923" s="3">
        <f t="shared" si="63"/>
        <v>0</v>
      </c>
    </row>
    <row r="3924" spans="12:12" x14ac:dyDescent="0.35">
      <c r="L3924" s="3">
        <f t="shared" si="63"/>
        <v>0</v>
      </c>
    </row>
    <row r="3925" spans="12:12" x14ac:dyDescent="0.35">
      <c r="L3925" s="3">
        <f t="shared" si="63"/>
        <v>0</v>
      </c>
    </row>
    <row r="3926" spans="12:12" x14ac:dyDescent="0.35">
      <c r="L3926" s="3">
        <f t="shared" si="63"/>
        <v>0</v>
      </c>
    </row>
    <row r="3927" spans="12:12" x14ac:dyDescent="0.35">
      <c r="L3927" s="3">
        <f t="shared" si="63"/>
        <v>0</v>
      </c>
    </row>
    <row r="3928" spans="12:12" x14ac:dyDescent="0.35">
      <c r="L3928" s="3">
        <f t="shared" si="63"/>
        <v>0</v>
      </c>
    </row>
    <row r="3929" spans="12:12" x14ac:dyDescent="0.35">
      <c r="L3929" s="3">
        <f t="shared" si="63"/>
        <v>0</v>
      </c>
    </row>
    <row r="3930" spans="12:12" x14ac:dyDescent="0.35">
      <c r="L3930" s="3">
        <f t="shared" si="63"/>
        <v>0</v>
      </c>
    </row>
    <row r="3931" spans="12:12" x14ac:dyDescent="0.35">
      <c r="L3931" s="3">
        <f t="shared" si="63"/>
        <v>0</v>
      </c>
    </row>
    <row r="3932" spans="12:12" x14ac:dyDescent="0.35">
      <c r="L3932" s="3">
        <f t="shared" si="63"/>
        <v>0</v>
      </c>
    </row>
    <row r="3933" spans="12:12" x14ac:dyDescent="0.35">
      <c r="L3933" s="3">
        <f t="shared" si="63"/>
        <v>0</v>
      </c>
    </row>
    <row r="3934" spans="12:12" x14ac:dyDescent="0.35">
      <c r="L3934" s="3">
        <f t="shared" si="63"/>
        <v>0</v>
      </c>
    </row>
    <row r="3935" spans="12:12" x14ac:dyDescent="0.35">
      <c r="L3935" s="3">
        <f t="shared" si="63"/>
        <v>0</v>
      </c>
    </row>
    <row r="3936" spans="12:12" x14ac:dyDescent="0.35">
      <c r="L3936" s="3">
        <f t="shared" si="63"/>
        <v>0</v>
      </c>
    </row>
    <row r="3937" spans="12:12" x14ac:dyDescent="0.35">
      <c r="L3937" s="3">
        <f t="shared" si="63"/>
        <v>0</v>
      </c>
    </row>
    <row r="3938" spans="12:12" x14ac:dyDescent="0.35">
      <c r="L3938" s="3">
        <f t="shared" si="63"/>
        <v>0</v>
      </c>
    </row>
    <row r="3939" spans="12:12" x14ac:dyDescent="0.35">
      <c r="L3939" s="3">
        <f t="shared" si="63"/>
        <v>0</v>
      </c>
    </row>
    <row r="3940" spans="12:12" x14ac:dyDescent="0.35">
      <c r="L3940" s="3">
        <f t="shared" si="63"/>
        <v>0</v>
      </c>
    </row>
    <row r="3941" spans="12:12" x14ac:dyDescent="0.35">
      <c r="L3941" s="3">
        <f t="shared" si="63"/>
        <v>0</v>
      </c>
    </row>
    <row r="3942" spans="12:12" x14ac:dyDescent="0.35">
      <c r="L3942" s="3">
        <f t="shared" si="63"/>
        <v>0</v>
      </c>
    </row>
    <row r="3943" spans="12:12" x14ac:dyDescent="0.35">
      <c r="L3943" s="3">
        <f t="shared" si="63"/>
        <v>0</v>
      </c>
    </row>
    <row r="3944" spans="12:12" x14ac:dyDescent="0.35">
      <c r="L3944" s="3">
        <f t="shared" si="63"/>
        <v>0</v>
      </c>
    </row>
    <row r="3945" spans="12:12" x14ac:dyDescent="0.35">
      <c r="L3945" s="3">
        <f t="shared" si="63"/>
        <v>0</v>
      </c>
    </row>
    <row r="3946" spans="12:12" x14ac:dyDescent="0.35">
      <c r="L3946" s="3">
        <f t="shared" si="63"/>
        <v>0</v>
      </c>
    </row>
    <row r="3947" spans="12:12" x14ac:dyDescent="0.35">
      <c r="L3947" s="3">
        <f t="shared" si="63"/>
        <v>0</v>
      </c>
    </row>
    <row r="3948" spans="12:12" x14ac:dyDescent="0.35">
      <c r="L3948" s="3">
        <f t="shared" si="63"/>
        <v>0</v>
      </c>
    </row>
    <row r="3949" spans="12:12" x14ac:dyDescent="0.35">
      <c r="L3949" s="3">
        <f t="shared" si="63"/>
        <v>0</v>
      </c>
    </row>
    <row r="3950" spans="12:12" x14ac:dyDescent="0.35">
      <c r="L3950" s="3">
        <f t="shared" si="63"/>
        <v>0</v>
      </c>
    </row>
    <row r="3951" spans="12:12" x14ac:dyDescent="0.35">
      <c r="L3951" s="3">
        <f t="shared" si="63"/>
        <v>0</v>
      </c>
    </row>
    <row r="3952" spans="12:12" x14ac:dyDescent="0.35">
      <c r="L3952" s="3">
        <f t="shared" si="63"/>
        <v>0</v>
      </c>
    </row>
    <row r="3953" spans="12:12" x14ac:dyDescent="0.35">
      <c r="L3953" s="3">
        <f t="shared" si="63"/>
        <v>0</v>
      </c>
    </row>
    <row r="3954" spans="12:12" x14ac:dyDescent="0.35">
      <c r="L3954" s="3">
        <f t="shared" si="63"/>
        <v>0</v>
      </c>
    </row>
    <row r="3955" spans="12:12" x14ac:dyDescent="0.35">
      <c r="L3955" s="3">
        <f t="shared" si="63"/>
        <v>0</v>
      </c>
    </row>
    <row r="3956" spans="12:12" x14ac:dyDescent="0.35">
      <c r="L3956" s="3">
        <f t="shared" si="63"/>
        <v>0</v>
      </c>
    </row>
    <row r="3957" spans="12:12" x14ac:dyDescent="0.35">
      <c r="L3957" s="3">
        <f t="shared" si="63"/>
        <v>0</v>
      </c>
    </row>
    <row r="3958" spans="12:12" x14ac:dyDescent="0.35">
      <c r="L3958" s="3">
        <f t="shared" si="63"/>
        <v>0</v>
      </c>
    </row>
    <row r="3959" spans="12:12" x14ac:dyDescent="0.35">
      <c r="L3959" s="3">
        <f t="shared" si="63"/>
        <v>0</v>
      </c>
    </row>
    <row r="3960" spans="12:12" x14ac:dyDescent="0.35">
      <c r="L3960" s="3">
        <f t="shared" si="63"/>
        <v>0</v>
      </c>
    </row>
    <row r="3961" spans="12:12" x14ac:dyDescent="0.35">
      <c r="L3961" s="3">
        <f t="shared" si="63"/>
        <v>0</v>
      </c>
    </row>
    <row r="3962" spans="12:12" x14ac:dyDescent="0.35">
      <c r="L3962" s="3">
        <f t="shared" si="63"/>
        <v>0</v>
      </c>
    </row>
    <row r="3963" spans="12:12" x14ac:dyDescent="0.35">
      <c r="L3963" s="3">
        <f t="shared" ref="L3963:L4026" si="64">K3963*C3963</f>
        <v>0</v>
      </c>
    </row>
    <row r="3964" spans="12:12" x14ac:dyDescent="0.35">
      <c r="L3964" s="3">
        <f t="shared" si="64"/>
        <v>0</v>
      </c>
    </row>
    <row r="3965" spans="12:12" x14ac:dyDescent="0.35">
      <c r="L3965" s="3">
        <f t="shared" si="64"/>
        <v>0</v>
      </c>
    </row>
    <row r="3966" spans="12:12" x14ac:dyDescent="0.35">
      <c r="L3966" s="3">
        <f t="shared" si="64"/>
        <v>0</v>
      </c>
    </row>
    <row r="3967" spans="12:12" x14ac:dyDescent="0.35">
      <c r="L3967" s="3">
        <f t="shared" si="64"/>
        <v>0</v>
      </c>
    </row>
    <row r="3968" spans="12:12" x14ac:dyDescent="0.35">
      <c r="L3968" s="3">
        <f t="shared" si="64"/>
        <v>0</v>
      </c>
    </row>
    <row r="3969" spans="12:12" x14ac:dyDescent="0.35">
      <c r="L3969" s="3">
        <f t="shared" si="64"/>
        <v>0</v>
      </c>
    </row>
    <row r="3970" spans="12:12" x14ac:dyDescent="0.35">
      <c r="L3970" s="3">
        <f t="shared" si="64"/>
        <v>0</v>
      </c>
    </row>
    <row r="3971" spans="12:12" x14ac:dyDescent="0.35">
      <c r="L3971" s="3">
        <f t="shared" si="64"/>
        <v>0</v>
      </c>
    </row>
    <row r="3972" spans="12:12" x14ac:dyDescent="0.35">
      <c r="L3972" s="3">
        <f t="shared" si="64"/>
        <v>0</v>
      </c>
    </row>
    <row r="3973" spans="12:12" x14ac:dyDescent="0.35">
      <c r="L3973" s="3">
        <f t="shared" si="64"/>
        <v>0</v>
      </c>
    </row>
    <row r="3974" spans="12:12" x14ac:dyDescent="0.35">
      <c r="L3974" s="3">
        <f t="shared" si="64"/>
        <v>0</v>
      </c>
    </row>
    <row r="3975" spans="12:12" x14ac:dyDescent="0.35">
      <c r="L3975" s="3">
        <f t="shared" si="64"/>
        <v>0</v>
      </c>
    </row>
    <row r="3976" spans="12:12" x14ac:dyDescent="0.35">
      <c r="L3976" s="3">
        <f t="shared" si="64"/>
        <v>0</v>
      </c>
    </row>
    <row r="3977" spans="12:12" x14ac:dyDescent="0.35">
      <c r="L3977" s="3">
        <f t="shared" si="64"/>
        <v>0</v>
      </c>
    </row>
    <row r="3978" spans="12:12" x14ac:dyDescent="0.35">
      <c r="L3978" s="3">
        <f t="shared" si="64"/>
        <v>0</v>
      </c>
    </row>
    <row r="3979" spans="12:12" x14ac:dyDescent="0.35">
      <c r="L3979" s="3">
        <f t="shared" si="64"/>
        <v>0</v>
      </c>
    </row>
    <row r="3980" spans="12:12" x14ac:dyDescent="0.35">
      <c r="L3980" s="3">
        <f t="shared" si="64"/>
        <v>0</v>
      </c>
    </row>
    <row r="3981" spans="12:12" x14ac:dyDescent="0.35">
      <c r="L3981" s="3">
        <f t="shared" si="64"/>
        <v>0</v>
      </c>
    </row>
    <row r="3982" spans="12:12" x14ac:dyDescent="0.35">
      <c r="L3982" s="3">
        <f t="shared" si="64"/>
        <v>0</v>
      </c>
    </row>
    <row r="3983" spans="12:12" x14ac:dyDescent="0.35">
      <c r="L3983" s="3">
        <f t="shared" si="64"/>
        <v>0</v>
      </c>
    </row>
    <row r="3984" spans="12:12" x14ac:dyDescent="0.35">
      <c r="L3984" s="3">
        <f t="shared" si="64"/>
        <v>0</v>
      </c>
    </row>
    <row r="3985" spans="12:12" x14ac:dyDescent="0.35">
      <c r="L3985" s="3">
        <f t="shared" si="64"/>
        <v>0</v>
      </c>
    </row>
    <row r="3986" spans="12:12" x14ac:dyDescent="0.35">
      <c r="L3986" s="3">
        <f t="shared" si="64"/>
        <v>0</v>
      </c>
    </row>
    <row r="3987" spans="12:12" x14ac:dyDescent="0.35">
      <c r="L3987" s="3">
        <f t="shared" si="64"/>
        <v>0</v>
      </c>
    </row>
    <row r="3988" spans="12:12" x14ac:dyDescent="0.35">
      <c r="L3988" s="3">
        <f t="shared" si="64"/>
        <v>0</v>
      </c>
    </row>
    <row r="3989" spans="12:12" x14ac:dyDescent="0.35">
      <c r="L3989" s="3">
        <f t="shared" si="64"/>
        <v>0</v>
      </c>
    </row>
    <row r="3990" spans="12:12" x14ac:dyDescent="0.35">
      <c r="L3990" s="3">
        <f t="shared" si="64"/>
        <v>0</v>
      </c>
    </row>
    <row r="3991" spans="12:12" x14ac:dyDescent="0.35">
      <c r="L3991" s="3">
        <f t="shared" si="64"/>
        <v>0</v>
      </c>
    </row>
    <row r="3992" spans="12:12" x14ac:dyDescent="0.35">
      <c r="L3992" s="3">
        <f t="shared" si="64"/>
        <v>0</v>
      </c>
    </row>
    <row r="3993" spans="12:12" x14ac:dyDescent="0.35">
      <c r="L3993" s="3">
        <f t="shared" si="64"/>
        <v>0</v>
      </c>
    </row>
    <row r="3994" spans="12:12" x14ac:dyDescent="0.35">
      <c r="L3994" s="3">
        <f t="shared" si="64"/>
        <v>0</v>
      </c>
    </row>
    <row r="3995" spans="12:12" x14ac:dyDescent="0.35">
      <c r="L3995" s="3">
        <f t="shared" si="64"/>
        <v>0</v>
      </c>
    </row>
    <row r="3996" spans="12:12" x14ac:dyDescent="0.35">
      <c r="L3996" s="3">
        <f t="shared" si="64"/>
        <v>0</v>
      </c>
    </row>
    <row r="3997" spans="12:12" x14ac:dyDescent="0.35">
      <c r="L3997" s="3">
        <f t="shared" si="64"/>
        <v>0</v>
      </c>
    </row>
    <row r="3998" spans="12:12" x14ac:dyDescent="0.35">
      <c r="L3998" s="3">
        <f t="shared" si="64"/>
        <v>0</v>
      </c>
    </row>
    <row r="3999" spans="12:12" x14ac:dyDescent="0.35">
      <c r="L3999" s="3">
        <f t="shared" si="64"/>
        <v>0</v>
      </c>
    </row>
    <row r="4000" spans="12:12" x14ac:dyDescent="0.35">
      <c r="L4000" s="3">
        <f t="shared" si="64"/>
        <v>0</v>
      </c>
    </row>
    <row r="4001" spans="12:12" x14ac:dyDescent="0.35">
      <c r="L4001" s="3">
        <f t="shared" si="64"/>
        <v>0</v>
      </c>
    </row>
    <row r="4002" spans="12:12" x14ac:dyDescent="0.35">
      <c r="L4002" s="3">
        <f t="shared" si="64"/>
        <v>0</v>
      </c>
    </row>
    <row r="4003" spans="12:12" x14ac:dyDescent="0.35">
      <c r="L4003" s="3">
        <f t="shared" si="64"/>
        <v>0</v>
      </c>
    </row>
    <row r="4004" spans="12:12" x14ac:dyDescent="0.35">
      <c r="L4004" s="3">
        <f t="shared" si="64"/>
        <v>0</v>
      </c>
    </row>
    <row r="4005" spans="12:12" x14ac:dyDescent="0.35">
      <c r="L4005" s="3">
        <f t="shared" si="64"/>
        <v>0</v>
      </c>
    </row>
    <row r="4006" spans="12:12" x14ac:dyDescent="0.35">
      <c r="L4006" s="3">
        <f t="shared" si="64"/>
        <v>0</v>
      </c>
    </row>
    <row r="4007" spans="12:12" x14ac:dyDescent="0.35">
      <c r="L4007" s="3">
        <f t="shared" si="64"/>
        <v>0</v>
      </c>
    </row>
    <row r="4008" spans="12:12" x14ac:dyDescent="0.35">
      <c r="L4008" s="3">
        <f t="shared" si="64"/>
        <v>0</v>
      </c>
    </row>
    <row r="4009" spans="12:12" x14ac:dyDescent="0.35">
      <c r="L4009" s="3">
        <f t="shared" si="64"/>
        <v>0</v>
      </c>
    </row>
    <row r="4010" spans="12:12" x14ac:dyDescent="0.35">
      <c r="L4010" s="3">
        <f t="shared" si="64"/>
        <v>0</v>
      </c>
    </row>
    <row r="4011" spans="12:12" x14ac:dyDescent="0.35">
      <c r="L4011" s="3">
        <f t="shared" si="64"/>
        <v>0</v>
      </c>
    </row>
    <row r="4012" spans="12:12" x14ac:dyDescent="0.35">
      <c r="L4012" s="3">
        <f t="shared" si="64"/>
        <v>0</v>
      </c>
    </row>
    <row r="4013" spans="12:12" x14ac:dyDescent="0.35">
      <c r="L4013" s="3">
        <f t="shared" si="64"/>
        <v>0</v>
      </c>
    </row>
    <row r="4014" spans="12:12" x14ac:dyDescent="0.35">
      <c r="L4014" s="3">
        <f t="shared" si="64"/>
        <v>0</v>
      </c>
    </row>
    <row r="4015" spans="12:12" x14ac:dyDescent="0.35">
      <c r="L4015" s="3">
        <f t="shared" si="64"/>
        <v>0</v>
      </c>
    </row>
    <row r="4016" spans="12:12" x14ac:dyDescent="0.35">
      <c r="L4016" s="3">
        <f t="shared" si="64"/>
        <v>0</v>
      </c>
    </row>
    <row r="4017" spans="12:12" x14ac:dyDescent="0.35">
      <c r="L4017" s="3">
        <f t="shared" si="64"/>
        <v>0</v>
      </c>
    </row>
    <row r="4018" spans="12:12" x14ac:dyDescent="0.35">
      <c r="L4018" s="3">
        <f t="shared" si="64"/>
        <v>0</v>
      </c>
    </row>
    <row r="4019" spans="12:12" x14ac:dyDescent="0.35">
      <c r="L4019" s="3">
        <f t="shared" si="64"/>
        <v>0</v>
      </c>
    </row>
    <row r="4020" spans="12:12" x14ac:dyDescent="0.35">
      <c r="L4020" s="3">
        <f t="shared" si="64"/>
        <v>0</v>
      </c>
    </row>
    <row r="4021" spans="12:12" x14ac:dyDescent="0.35">
      <c r="L4021" s="3">
        <f t="shared" si="64"/>
        <v>0</v>
      </c>
    </row>
    <row r="4022" spans="12:12" x14ac:dyDescent="0.35">
      <c r="L4022" s="3">
        <f t="shared" si="64"/>
        <v>0</v>
      </c>
    </row>
    <row r="4023" spans="12:12" x14ac:dyDescent="0.35">
      <c r="L4023" s="3">
        <f t="shared" si="64"/>
        <v>0</v>
      </c>
    </row>
    <row r="4024" spans="12:12" x14ac:dyDescent="0.35">
      <c r="L4024" s="3">
        <f t="shared" si="64"/>
        <v>0</v>
      </c>
    </row>
    <row r="4025" spans="12:12" x14ac:dyDescent="0.35">
      <c r="L4025" s="3">
        <f t="shared" si="64"/>
        <v>0</v>
      </c>
    </row>
    <row r="4026" spans="12:12" x14ac:dyDescent="0.35">
      <c r="L4026" s="3">
        <f t="shared" si="64"/>
        <v>0</v>
      </c>
    </row>
    <row r="4027" spans="12:12" x14ac:dyDescent="0.35">
      <c r="L4027" s="3">
        <f t="shared" ref="L4027:L4090" si="65">K4027*C4027</f>
        <v>0</v>
      </c>
    </row>
    <row r="4028" spans="12:12" x14ac:dyDescent="0.35">
      <c r="L4028" s="3">
        <f t="shared" si="65"/>
        <v>0</v>
      </c>
    </row>
    <row r="4029" spans="12:12" x14ac:dyDescent="0.35">
      <c r="L4029" s="3">
        <f t="shared" si="65"/>
        <v>0</v>
      </c>
    </row>
    <row r="4030" spans="12:12" x14ac:dyDescent="0.35">
      <c r="L4030" s="3">
        <f t="shared" si="65"/>
        <v>0</v>
      </c>
    </row>
    <row r="4031" spans="12:12" x14ac:dyDescent="0.35">
      <c r="L4031" s="3">
        <f t="shared" si="65"/>
        <v>0</v>
      </c>
    </row>
    <row r="4032" spans="12:12" x14ac:dyDescent="0.35">
      <c r="L4032" s="3">
        <f t="shared" si="65"/>
        <v>0</v>
      </c>
    </row>
    <row r="4033" spans="12:12" x14ac:dyDescent="0.35">
      <c r="L4033" s="3">
        <f t="shared" si="65"/>
        <v>0</v>
      </c>
    </row>
    <row r="4034" spans="12:12" x14ac:dyDescent="0.35">
      <c r="L4034" s="3">
        <f t="shared" si="65"/>
        <v>0</v>
      </c>
    </row>
    <row r="4035" spans="12:12" x14ac:dyDescent="0.35">
      <c r="L4035" s="3">
        <f t="shared" si="65"/>
        <v>0</v>
      </c>
    </row>
    <row r="4036" spans="12:12" x14ac:dyDescent="0.35">
      <c r="L4036" s="3">
        <f t="shared" si="65"/>
        <v>0</v>
      </c>
    </row>
    <row r="4037" spans="12:12" x14ac:dyDescent="0.35">
      <c r="L4037" s="3">
        <f t="shared" si="65"/>
        <v>0</v>
      </c>
    </row>
    <row r="4038" spans="12:12" x14ac:dyDescent="0.35">
      <c r="L4038" s="3">
        <f t="shared" si="65"/>
        <v>0</v>
      </c>
    </row>
    <row r="4039" spans="12:12" x14ac:dyDescent="0.35">
      <c r="L4039" s="3">
        <f t="shared" si="65"/>
        <v>0</v>
      </c>
    </row>
    <row r="4040" spans="12:12" x14ac:dyDescent="0.35">
      <c r="L4040" s="3">
        <f t="shared" si="65"/>
        <v>0</v>
      </c>
    </row>
    <row r="4041" spans="12:12" x14ac:dyDescent="0.35">
      <c r="L4041" s="3">
        <f t="shared" si="65"/>
        <v>0</v>
      </c>
    </row>
    <row r="4042" spans="12:12" x14ac:dyDescent="0.35">
      <c r="L4042" s="3">
        <f t="shared" si="65"/>
        <v>0</v>
      </c>
    </row>
    <row r="4043" spans="12:12" x14ac:dyDescent="0.35">
      <c r="L4043" s="3">
        <f t="shared" si="65"/>
        <v>0</v>
      </c>
    </row>
    <row r="4044" spans="12:12" x14ac:dyDescent="0.35">
      <c r="L4044" s="3">
        <f t="shared" si="65"/>
        <v>0</v>
      </c>
    </row>
    <row r="4045" spans="12:12" x14ac:dyDescent="0.35">
      <c r="L4045" s="3">
        <f t="shared" si="65"/>
        <v>0</v>
      </c>
    </row>
    <row r="4046" spans="12:12" x14ac:dyDescent="0.35">
      <c r="L4046" s="3">
        <f t="shared" si="65"/>
        <v>0</v>
      </c>
    </row>
    <row r="4047" spans="12:12" x14ac:dyDescent="0.35">
      <c r="L4047" s="3">
        <f t="shared" si="65"/>
        <v>0</v>
      </c>
    </row>
    <row r="4048" spans="12:12" x14ac:dyDescent="0.35">
      <c r="L4048" s="3">
        <f t="shared" si="65"/>
        <v>0</v>
      </c>
    </row>
    <row r="4049" spans="12:12" x14ac:dyDescent="0.35">
      <c r="L4049" s="3">
        <f t="shared" si="65"/>
        <v>0</v>
      </c>
    </row>
    <row r="4050" spans="12:12" x14ac:dyDescent="0.35">
      <c r="L4050" s="3">
        <f t="shared" si="65"/>
        <v>0</v>
      </c>
    </row>
    <row r="4051" spans="12:12" x14ac:dyDescent="0.35">
      <c r="L4051" s="3">
        <f t="shared" si="65"/>
        <v>0</v>
      </c>
    </row>
    <row r="4052" spans="12:12" x14ac:dyDescent="0.35">
      <c r="L4052" s="3">
        <f t="shared" si="65"/>
        <v>0</v>
      </c>
    </row>
    <row r="4053" spans="12:12" x14ac:dyDescent="0.35">
      <c r="L4053" s="3">
        <f t="shared" si="65"/>
        <v>0</v>
      </c>
    </row>
    <row r="4054" spans="12:12" x14ac:dyDescent="0.35">
      <c r="L4054" s="3">
        <f t="shared" si="65"/>
        <v>0</v>
      </c>
    </row>
    <row r="4055" spans="12:12" x14ac:dyDescent="0.35">
      <c r="L4055" s="3">
        <f t="shared" si="65"/>
        <v>0</v>
      </c>
    </row>
    <row r="4056" spans="12:12" x14ac:dyDescent="0.35">
      <c r="L4056" s="3">
        <f t="shared" si="65"/>
        <v>0</v>
      </c>
    </row>
    <row r="4057" spans="12:12" x14ac:dyDescent="0.35">
      <c r="L4057" s="3">
        <f t="shared" si="65"/>
        <v>0</v>
      </c>
    </row>
    <row r="4058" spans="12:12" x14ac:dyDescent="0.35">
      <c r="L4058" s="3">
        <f t="shared" si="65"/>
        <v>0</v>
      </c>
    </row>
    <row r="4059" spans="12:12" x14ac:dyDescent="0.35">
      <c r="L4059" s="3">
        <f t="shared" si="65"/>
        <v>0</v>
      </c>
    </row>
    <row r="4060" spans="12:12" x14ac:dyDescent="0.35">
      <c r="L4060" s="3">
        <f t="shared" si="65"/>
        <v>0</v>
      </c>
    </row>
    <row r="4061" spans="12:12" x14ac:dyDescent="0.35">
      <c r="L4061" s="3">
        <f t="shared" si="65"/>
        <v>0</v>
      </c>
    </row>
    <row r="4062" spans="12:12" x14ac:dyDescent="0.35">
      <c r="L4062" s="3">
        <f t="shared" si="65"/>
        <v>0</v>
      </c>
    </row>
    <row r="4063" spans="12:12" x14ac:dyDescent="0.35">
      <c r="L4063" s="3">
        <f t="shared" si="65"/>
        <v>0</v>
      </c>
    </row>
    <row r="4064" spans="12:12" x14ac:dyDescent="0.35">
      <c r="L4064" s="3">
        <f t="shared" si="65"/>
        <v>0</v>
      </c>
    </row>
    <row r="4065" spans="12:12" x14ac:dyDescent="0.35">
      <c r="L4065" s="3">
        <f t="shared" si="65"/>
        <v>0</v>
      </c>
    </row>
    <row r="4066" spans="12:12" x14ac:dyDescent="0.35">
      <c r="L4066" s="3">
        <f t="shared" si="65"/>
        <v>0</v>
      </c>
    </row>
    <row r="4067" spans="12:12" x14ac:dyDescent="0.35">
      <c r="L4067" s="3">
        <f t="shared" si="65"/>
        <v>0</v>
      </c>
    </row>
    <row r="4068" spans="12:12" x14ac:dyDescent="0.35">
      <c r="L4068" s="3">
        <f t="shared" si="65"/>
        <v>0</v>
      </c>
    </row>
    <row r="4069" spans="12:12" x14ac:dyDescent="0.35">
      <c r="L4069" s="3">
        <f t="shared" si="65"/>
        <v>0</v>
      </c>
    </row>
    <row r="4070" spans="12:12" x14ac:dyDescent="0.35">
      <c r="L4070" s="3">
        <f t="shared" si="65"/>
        <v>0</v>
      </c>
    </row>
    <row r="4071" spans="12:12" x14ac:dyDescent="0.35">
      <c r="L4071" s="3">
        <f t="shared" si="65"/>
        <v>0</v>
      </c>
    </row>
    <row r="4072" spans="12:12" x14ac:dyDescent="0.35">
      <c r="L4072" s="3">
        <f t="shared" si="65"/>
        <v>0</v>
      </c>
    </row>
    <row r="4073" spans="12:12" x14ac:dyDescent="0.35">
      <c r="L4073" s="3">
        <f t="shared" si="65"/>
        <v>0</v>
      </c>
    </row>
    <row r="4074" spans="12:12" x14ac:dyDescent="0.35">
      <c r="L4074" s="3">
        <f t="shared" si="65"/>
        <v>0</v>
      </c>
    </row>
    <row r="4075" spans="12:12" x14ac:dyDescent="0.35">
      <c r="L4075" s="3">
        <f t="shared" si="65"/>
        <v>0</v>
      </c>
    </row>
    <row r="4076" spans="12:12" x14ac:dyDescent="0.35">
      <c r="L4076" s="3">
        <f t="shared" si="65"/>
        <v>0</v>
      </c>
    </row>
    <row r="4077" spans="12:12" x14ac:dyDescent="0.35">
      <c r="L4077" s="3">
        <f t="shared" si="65"/>
        <v>0</v>
      </c>
    </row>
    <row r="4078" spans="12:12" x14ac:dyDescent="0.35">
      <c r="L4078" s="3">
        <f t="shared" si="65"/>
        <v>0</v>
      </c>
    </row>
    <row r="4079" spans="12:12" x14ac:dyDescent="0.35">
      <c r="L4079" s="3">
        <f t="shared" si="65"/>
        <v>0</v>
      </c>
    </row>
    <row r="4080" spans="12:12" x14ac:dyDescent="0.35">
      <c r="L4080" s="3">
        <f t="shared" si="65"/>
        <v>0</v>
      </c>
    </row>
    <row r="4081" spans="12:12" x14ac:dyDescent="0.35">
      <c r="L4081" s="3">
        <f t="shared" si="65"/>
        <v>0</v>
      </c>
    </row>
    <row r="4082" spans="12:12" x14ac:dyDescent="0.35">
      <c r="L4082" s="3">
        <f t="shared" si="65"/>
        <v>0</v>
      </c>
    </row>
    <row r="4083" spans="12:12" x14ac:dyDescent="0.35">
      <c r="L4083" s="3">
        <f t="shared" si="65"/>
        <v>0</v>
      </c>
    </row>
    <row r="4084" spans="12:12" x14ac:dyDescent="0.35">
      <c r="L4084" s="3">
        <f t="shared" si="65"/>
        <v>0</v>
      </c>
    </row>
    <row r="4085" spans="12:12" x14ac:dyDescent="0.35">
      <c r="L4085" s="3">
        <f t="shared" si="65"/>
        <v>0</v>
      </c>
    </row>
    <row r="4086" spans="12:12" x14ac:dyDescent="0.35">
      <c r="L4086" s="3">
        <f t="shared" si="65"/>
        <v>0</v>
      </c>
    </row>
    <row r="4087" spans="12:12" x14ac:dyDescent="0.35">
      <c r="L4087" s="3">
        <f t="shared" si="65"/>
        <v>0</v>
      </c>
    </row>
    <row r="4088" spans="12:12" x14ac:dyDescent="0.35">
      <c r="L4088" s="3">
        <f t="shared" si="65"/>
        <v>0</v>
      </c>
    </row>
    <row r="4089" spans="12:12" x14ac:dyDescent="0.35">
      <c r="L4089" s="3">
        <f t="shared" si="65"/>
        <v>0</v>
      </c>
    </row>
    <row r="4090" spans="12:12" x14ac:dyDescent="0.35">
      <c r="L4090" s="3">
        <f t="shared" si="65"/>
        <v>0</v>
      </c>
    </row>
    <row r="4091" spans="12:12" x14ac:dyDescent="0.35">
      <c r="L4091" s="3">
        <f t="shared" ref="L4091:L4154" si="66">K4091*C4091</f>
        <v>0</v>
      </c>
    </row>
    <row r="4092" spans="12:12" x14ac:dyDescent="0.35">
      <c r="L4092" s="3">
        <f t="shared" si="66"/>
        <v>0</v>
      </c>
    </row>
    <row r="4093" spans="12:12" x14ac:dyDescent="0.35">
      <c r="L4093" s="3">
        <f t="shared" si="66"/>
        <v>0</v>
      </c>
    </row>
    <row r="4094" spans="12:12" x14ac:dyDescent="0.35">
      <c r="L4094" s="3">
        <f t="shared" si="66"/>
        <v>0</v>
      </c>
    </row>
    <row r="4095" spans="12:12" x14ac:dyDescent="0.35">
      <c r="L4095" s="3">
        <f t="shared" si="66"/>
        <v>0</v>
      </c>
    </row>
    <row r="4096" spans="12:12" x14ac:dyDescent="0.35">
      <c r="L4096" s="3">
        <f t="shared" si="66"/>
        <v>0</v>
      </c>
    </row>
    <row r="4097" spans="12:12" x14ac:dyDescent="0.35">
      <c r="L4097" s="3">
        <f t="shared" si="66"/>
        <v>0</v>
      </c>
    </row>
    <row r="4098" spans="12:12" x14ac:dyDescent="0.35">
      <c r="L4098" s="3">
        <f t="shared" si="66"/>
        <v>0</v>
      </c>
    </row>
    <row r="4099" spans="12:12" x14ac:dyDescent="0.35">
      <c r="L4099" s="3">
        <f t="shared" si="66"/>
        <v>0</v>
      </c>
    </row>
    <row r="4100" spans="12:12" x14ac:dyDescent="0.35">
      <c r="L4100" s="3">
        <f t="shared" si="66"/>
        <v>0</v>
      </c>
    </row>
    <row r="4101" spans="12:12" x14ac:dyDescent="0.35">
      <c r="L4101" s="3">
        <f t="shared" si="66"/>
        <v>0</v>
      </c>
    </row>
    <row r="4102" spans="12:12" x14ac:dyDescent="0.35">
      <c r="L4102" s="3">
        <f t="shared" si="66"/>
        <v>0</v>
      </c>
    </row>
    <row r="4103" spans="12:12" x14ac:dyDescent="0.35">
      <c r="L4103" s="3">
        <f t="shared" si="66"/>
        <v>0</v>
      </c>
    </row>
    <row r="4104" spans="12:12" x14ac:dyDescent="0.35">
      <c r="L4104" s="3">
        <f t="shared" si="66"/>
        <v>0</v>
      </c>
    </row>
    <row r="4105" spans="12:12" x14ac:dyDescent="0.35">
      <c r="L4105" s="3">
        <f t="shared" si="66"/>
        <v>0</v>
      </c>
    </row>
    <row r="4106" spans="12:12" x14ac:dyDescent="0.35">
      <c r="L4106" s="3">
        <f t="shared" si="66"/>
        <v>0</v>
      </c>
    </row>
    <row r="4107" spans="12:12" x14ac:dyDescent="0.35">
      <c r="L4107" s="3">
        <f t="shared" si="66"/>
        <v>0</v>
      </c>
    </row>
    <row r="4108" spans="12:12" x14ac:dyDescent="0.35">
      <c r="L4108" s="3">
        <f t="shared" si="66"/>
        <v>0</v>
      </c>
    </row>
    <row r="4109" spans="12:12" x14ac:dyDescent="0.35">
      <c r="L4109" s="3">
        <f t="shared" si="66"/>
        <v>0</v>
      </c>
    </row>
    <row r="4110" spans="12:12" x14ac:dyDescent="0.35">
      <c r="L4110" s="3">
        <f t="shared" si="66"/>
        <v>0</v>
      </c>
    </row>
    <row r="4111" spans="12:12" x14ac:dyDescent="0.35">
      <c r="L4111" s="3">
        <f t="shared" si="66"/>
        <v>0</v>
      </c>
    </row>
    <row r="4112" spans="12:12" x14ac:dyDescent="0.35">
      <c r="L4112" s="3">
        <f t="shared" si="66"/>
        <v>0</v>
      </c>
    </row>
    <row r="4113" spans="12:12" x14ac:dyDescent="0.35">
      <c r="L4113" s="3">
        <f t="shared" si="66"/>
        <v>0</v>
      </c>
    </row>
    <row r="4114" spans="12:12" x14ac:dyDescent="0.35">
      <c r="L4114" s="3">
        <f t="shared" si="66"/>
        <v>0</v>
      </c>
    </row>
    <row r="4115" spans="12:12" x14ac:dyDescent="0.35">
      <c r="L4115" s="3">
        <f t="shared" si="66"/>
        <v>0</v>
      </c>
    </row>
    <row r="4116" spans="12:12" x14ac:dyDescent="0.35">
      <c r="L4116" s="3">
        <f t="shared" si="66"/>
        <v>0</v>
      </c>
    </row>
    <row r="4117" spans="12:12" x14ac:dyDescent="0.35">
      <c r="L4117" s="3">
        <f t="shared" si="66"/>
        <v>0</v>
      </c>
    </row>
    <row r="4118" spans="12:12" x14ac:dyDescent="0.35">
      <c r="L4118" s="3">
        <f t="shared" si="66"/>
        <v>0</v>
      </c>
    </row>
    <row r="4119" spans="12:12" x14ac:dyDescent="0.35">
      <c r="L4119" s="3">
        <f t="shared" si="66"/>
        <v>0</v>
      </c>
    </row>
    <row r="4120" spans="12:12" x14ac:dyDescent="0.35">
      <c r="L4120" s="3">
        <f t="shared" si="66"/>
        <v>0</v>
      </c>
    </row>
    <row r="4121" spans="12:12" x14ac:dyDescent="0.35">
      <c r="L4121" s="3">
        <f t="shared" si="66"/>
        <v>0</v>
      </c>
    </row>
    <row r="4122" spans="12:12" x14ac:dyDescent="0.35">
      <c r="L4122" s="3">
        <f t="shared" si="66"/>
        <v>0</v>
      </c>
    </row>
    <row r="4123" spans="12:12" x14ac:dyDescent="0.35">
      <c r="L4123" s="3">
        <f t="shared" si="66"/>
        <v>0</v>
      </c>
    </row>
    <row r="4124" spans="12:12" x14ac:dyDescent="0.35">
      <c r="L4124" s="3">
        <f t="shared" si="66"/>
        <v>0</v>
      </c>
    </row>
    <row r="4125" spans="12:12" x14ac:dyDescent="0.35">
      <c r="L4125" s="3">
        <f t="shared" si="66"/>
        <v>0</v>
      </c>
    </row>
    <row r="4126" spans="12:12" x14ac:dyDescent="0.35">
      <c r="L4126" s="3">
        <f t="shared" si="66"/>
        <v>0</v>
      </c>
    </row>
    <row r="4127" spans="12:12" x14ac:dyDescent="0.35">
      <c r="L4127" s="3">
        <f t="shared" si="66"/>
        <v>0</v>
      </c>
    </row>
    <row r="4128" spans="12:12" x14ac:dyDescent="0.35">
      <c r="L4128" s="3">
        <f t="shared" si="66"/>
        <v>0</v>
      </c>
    </row>
    <row r="4129" spans="12:12" x14ac:dyDescent="0.35">
      <c r="L4129" s="3">
        <f t="shared" si="66"/>
        <v>0</v>
      </c>
    </row>
    <row r="4130" spans="12:12" x14ac:dyDescent="0.35">
      <c r="L4130" s="3">
        <f t="shared" si="66"/>
        <v>0</v>
      </c>
    </row>
    <row r="4131" spans="12:12" x14ac:dyDescent="0.35">
      <c r="L4131" s="3">
        <f t="shared" si="66"/>
        <v>0</v>
      </c>
    </row>
    <row r="4132" spans="12:12" x14ac:dyDescent="0.35">
      <c r="L4132" s="3">
        <f t="shared" si="66"/>
        <v>0</v>
      </c>
    </row>
    <row r="4133" spans="12:12" x14ac:dyDescent="0.35">
      <c r="L4133" s="3">
        <f t="shared" si="66"/>
        <v>0</v>
      </c>
    </row>
    <row r="4134" spans="12:12" x14ac:dyDescent="0.35">
      <c r="L4134" s="3">
        <f t="shared" si="66"/>
        <v>0</v>
      </c>
    </row>
    <row r="4135" spans="12:12" x14ac:dyDescent="0.35">
      <c r="L4135" s="3">
        <f t="shared" si="66"/>
        <v>0</v>
      </c>
    </row>
    <row r="4136" spans="12:12" x14ac:dyDescent="0.35">
      <c r="L4136" s="3">
        <f t="shared" si="66"/>
        <v>0</v>
      </c>
    </row>
    <row r="4137" spans="12:12" x14ac:dyDescent="0.35">
      <c r="L4137" s="3">
        <f t="shared" si="66"/>
        <v>0</v>
      </c>
    </row>
    <row r="4138" spans="12:12" x14ac:dyDescent="0.35">
      <c r="L4138" s="3">
        <f t="shared" si="66"/>
        <v>0</v>
      </c>
    </row>
    <row r="4139" spans="12:12" x14ac:dyDescent="0.35">
      <c r="L4139" s="3">
        <f t="shared" si="66"/>
        <v>0</v>
      </c>
    </row>
    <row r="4140" spans="12:12" x14ac:dyDescent="0.35">
      <c r="L4140" s="3">
        <f t="shared" si="66"/>
        <v>0</v>
      </c>
    </row>
    <row r="4141" spans="12:12" x14ac:dyDescent="0.35">
      <c r="L4141" s="3">
        <f t="shared" si="66"/>
        <v>0</v>
      </c>
    </row>
    <row r="4142" spans="12:12" x14ac:dyDescent="0.35">
      <c r="L4142" s="3">
        <f t="shared" si="66"/>
        <v>0</v>
      </c>
    </row>
    <row r="4143" spans="12:12" x14ac:dyDescent="0.35">
      <c r="L4143" s="3">
        <f t="shared" si="66"/>
        <v>0</v>
      </c>
    </row>
    <row r="4144" spans="12:12" x14ac:dyDescent="0.35">
      <c r="L4144" s="3">
        <f t="shared" si="66"/>
        <v>0</v>
      </c>
    </row>
    <row r="4145" spans="12:12" x14ac:dyDescent="0.35">
      <c r="L4145" s="3">
        <f t="shared" si="66"/>
        <v>0</v>
      </c>
    </row>
    <row r="4146" spans="12:12" x14ac:dyDescent="0.35">
      <c r="L4146" s="3">
        <f t="shared" si="66"/>
        <v>0</v>
      </c>
    </row>
    <row r="4147" spans="12:12" x14ac:dyDescent="0.35">
      <c r="L4147" s="3">
        <f t="shared" si="66"/>
        <v>0</v>
      </c>
    </row>
    <row r="4148" spans="12:12" x14ac:dyDescent="0.35">
      <c r="L4148" s="3">
        <f t="shared" si="66"/>
        <v>0</v>
      </c>
    </row>
    <row r="4149" spans="12:12" x14ac:dyDescent="0.35">
      <c r="L4149" s="3">
        <f t="shared" si="66"/>
        <v>0</v>
      </c>
    </row>
    <row r="4150" spans="12:12" x14ac:dyDescent="0.35">
      <c r="L4150" s="3">
        <f t="shared" si="66"/>
        <v>0</v>
      </c>
    </row>
    <row r="4151" spans="12:12" x14ac:dyDescent="0.35">
      <c r="L4151" s="3">
        <f t="shared" si="66"/>
        <v>0</v>
      </c>
    </row>
    <row r="4152" spans="12:12" x14ac:dyDescent="0.35">
      <c r="L4152" s="3">
        <f t="shared" si="66"/>
        <v>0</v>
      </c>
    </row>
    <row r="4153" spans="12:12" x14ac:dyDescent="0.35">
      <c r="L4153" s="3">
        <f t="shared" si="66"/>
        <v>0</v>
      </c>
    </row>
    <row r="4154" spans="12:12" x14ac:dyDescent="0.35">
      <c r="L4154" s="3">
        <f t="shared" si="66"/>
        <v>0</v>
      </c>
    </row>
    <row r="4155" spans="12:12" x14ac:dyDescent="0.35">
      <c r="L4155" s="3">
        <f t="shared" ref="L4155:L4218" si="67">K4155*C4155</f>
        <v>0</v>
      </c>
    </row>
    <row r="4156" spans="12:12" x14ac:dyDescent="0.35">
      <c r="L4156" s="3">
        <f t="shared" si="67"/>
        <v>0</v>
      </c>
    </row>
    <row r="4157" spans="12:12" x14ac:dyDescent="0.35">
      <c r="L4157" s="3">
        <f t="shared" si="67"/>
        <v>0</v>
      </c>
    </row>
    <row r="4158" spans="12:12" x14ac:dyDescent="0.35">
      <c r="L4158" s="3">
        <f t="shared" si="67"/>
        <v>0</v>
      </c>
    </row>
    <row r="4159" spans="12:12" x14ac:dyDescent="0.35">
      <c r="L4159" s="3">
        <f t="shared" si="67"/>
        <v>0</v>
      </c>
    </row>
    <row r="4160" spans="12:12" x14ac:dyDescent="0.35">
      <c r="L4160" s="3">
        <f t="shared" si="67"/>
        <v>0</v>
      </c>
    </row>
    <row r="4161" spans="12:12" x14ac:dyDescent="0.35">
      <c r="L4161" s="3">
        <f t="shared" si="67"/>
        <v>0</v>
      </c>
    </row>
    <row r="4162" spans="12:12" x14ac:dyDescent="0.35">
      <c r="L4162" s="3">
        <f t="shared" si="67"/>
        <v>0</v>
      </c>
    </row>
    <row r="4163" spans="12:12" x14ac:dyDescent="0.35">
      <c r="L4163" s="3">
        <f t="shared" si="67"/>
        <v>0</v>
      </c>
    </row>
    <row r="4164" spans="12:12" x14ac:dyDescent="0.35">
      <c r="L4164" s="3">
        <f t="shared" si="67"/>
        <v>0</v>
      </c>
    </row>
    <row r="4165" spans="12:12" x14ac:dyDescent="0.35">
      <c r="L4165" s="3">
        <f t="shared" si="67"/>
        <v>0</v>
      </c>
    </row>
    <row r="4166" spans="12:12" x14ac:dyDescent="0.35">
      <c r="L4166" s="3">
        <f t="shared" si="67"/>
        <v>0</v>
      </c>
    </row>
    <row r="4167" spans="12:12" x14ac:dyDescent="0.35">
      <c r="L4167" s="3">
        <f t="shared" si="67"/>
        <v>0</v>
      </c>
    </row>
    <row r="4168" spans="12:12" x14ac:dyDescent="0.35">
      <c r="L4168" s="3">
        <f t="shared" si="67"/>
        <v>0</v>
      </c>
    </row>
    <row r="4169" spans="12:12" x14ac:dyDescent="0.35">
      <c r="L4169" s="3">
        <f t="shared" si="67"/>
        <v>0</v>
      </c>
    </row>
    <row r="4170" spans="12:12" x14ac:dyDescent="0.35">
      <c r="L4170" s="3">
        <f t="shared" si="67"/>
        <v>0</v>
      </c>
    </row>
    <row r="4171" spans="12:12" x14ac:dyDescent="0.35">
      <c r="L4171" s="3">
        <f t="shared" si="67"/>
        <v>0</v>
      </c>
    </row>
    <row r="4172" spans="12:12" x14ac:dyDescent="0.35">
      <c r="L4172" s="3">
        <f t="shared" si="67"/>
        <v>0</v>
      </c>
    </row>
    <row r="4173" spans="12:12" x14ac:dyDescent="0.35">
      <c r="L4173" s="3">
        <f t="shared" si="67"/>
        <v>0</v>
      </c>
    </row>
    <row r="4174" spans="12:12" x14ac:dyDescent="0.35">
      <c r="L4174" s="3">
        <f t="shared" si="67"/>
        <v>0</v>
      </c>
    </row>
    <row r="4175" spans="12:12" x14ac:dyDescent="0.35">
      <c r="L4175" s="3">
        <f t="shared" si="67"/>
        <v>0</v>
      </c>
    </row>
    <row r="4176" spans="12:12" x14ac:dyDescent="0.35">
      <c r="L4176" s="3">
        <f t="shared" si="67"/>
        <v>0</v>
      </c>
    </row>
    <row r="4177" spans="12:12" x14ac:dyDescent="0.35">
      <c r="L4177" s="3">
        <f t="shared" si="67"/>
        <v>0</v>
      </c>
    </row>
    <row r="4178" spans="12:12" x14ac:dyDescent="0.35">
      <c r="L4178" s="3">
        <f t="shared" si="67"/>
        <v>0</v>
      </c>
    </row>
    <row r="4179" spans="12:12" x14ac:dyDescent="0.35">
      <c r="L4179" s="3">
        <f t="shared" si="67"/>
        <v>0</v>
      </c>
    </row>
    <row r="4180" spans="12:12" x14ac:dyDescent="0.35">
      <c r="L4180" s="3">
        <f t="shared" si="67"/>
        <v>0</v>
      </c>
    </row>
    <row r="4181" spans="12:12" x14ac:dyDescent="0.35">
      <c r="L4181" s="3">
        <f t="shared" si="67"/>
        <v>0</v>
      </c>
    </row>
    <row r="4182" spans="12:12" x14ac:dyDescent="0.35">
      <c r="L4182" s="3">
        <f t="shared" si="67"/>
        <v>0</v>
      </c>
    </row>
    <row r="4183" spans="12:12" x14ac:dyDescent="0.35">
      <c r="L4183" s="3">
        <f t="shared" si="67"/>
        <v>0</v>
      </c>
    </row>
    <row r="4184" spans="12:12" x14ac:dyDescent="0.35">
      <c r="L4184" s="3">
        <f t="shared" si="67"/>
        <v>0</v>
      </c>
    </row>
    <row r="4185" spans="12:12" x14ac:dyDescent="0.35">
      <c r="L4185" s="3">
        <f t="shared" si="67"/>
        <v>0</v>
      </c>
    </row>
    <row r="4186" spans="12:12" x14ac:dyDescent="0.35">
      <c r="L4186" s="3">
        <f t="shared" si="67"/>
        <v>0</v>
      </c>
    </row>
    <row r="4187" spans="12:12" x14ac:dyDescent="0.35">
      <c r="L4187" s="3">
        <f t="shared" si="67"/>
        <v>0</v>
      </c>
    </row>
    <row r="4188" spans="12:12" x14ac:dyDescent="0.35">
      <c r="L4188" s="3">
        <f t="shared" si="67"/>
        <v>0</v>
      </c>
    </row>
    <row r="4189" spans="12:12" x14ac:dyDescent="0.35">
      <c r="L4189" s="3">
        <f t="shared" si="67"/>
        <v>0</v>
      </c>
    </row>
    <row r="4190" spans="12:12" x14ac:dyDescent="0.35">
      <c r="L4190" s="3">
        <f t="shared" si="67"/>
        <v>0</v>
      </c>
    </row>
    <row r="4191" spans="12:12" x14ac:dyDescent="0.35">
      <c r="L4191" s="3">
        <f t="shared" si="67"/>
        <v>0</v>
      </c>
    </row>
    <row r="4192" spans="12:12" x14ac:dyDescent="0.35">
      <c r="L4192" s="3">
        <f t="shared" si="67"/>
        <v>0</v>
      </c>
    </row>
    <row r="4193" spans="12:12" x14ac:dyDescent="0.35">
      <c r="L4193" s="3">
        <f t="shared" si="67"/>
        <v>0</v>
      </c>
    </row>
    <row r="4194" spans="12:12" x14ac:dyDescent="0.35">
      <c r="L4194" s="3">
        <f t="shared" si="67"/>
        <v>0</v>
      </c>
    </row>
    <row r="4195" spans="12:12" x14ac:dyDescent="0.35">
      <c r="L4195" s="3">
        <f t="shared" si="67"/>
        <v>0</v>
      </c>
    </row>
    <row r="4196" spans="12:12" x14ac:dyDescent="0.35">
      <c r="L4196" s="3">
        <f t="shared" si="67"/>
        <v>0</v>
      </c>
    </row>
    <row r="4197" spans="12:12" x14ac:dyDescent="0.35">
      <c r="L4197" s="3">
        <f t="shared" si="67"/>
        <v>0</v>
      </c>
    </row>
    <row r="4198" spans="12:12" x14ac:dyDescent="0.35">
      <c r="L4198" s="3">
        <f t="shared" si="67"/>
        <v>0</v>
      </c>
    </row>
    <row r="4199" spans="12:12" x14ac:dyDescent="0.35">
      <c r="L4199" s="3">
        <f t="shared" si="67"/>
        <v>0</v>
      </c>
    </row>
    <row r="4200" spans="12:12" x14ac:dyDescent="0.35">
      <c r="L4200" s="3">
        <f t="shared" si="67"/>
        <v>0</v>
      </c>
    </row>
    <row r="4201" spans="12:12" x14ac:dyDescent="0.35">
      <c r="L4201" s="3">
        <f t="shared" si="67"/>
        <v>0</v>
      </c>
    </row>
    <row r="4202" spans="12:12" x14ac:dyDescent="0.35">
      <c r="L4202" s="3">
        <f t="shared" si="67"/>
        <v>0</v>
      </c>
    </row>
    <row r="4203" spans="12:12" x14ac:dyDescent="0.35">
      <c r="L4203" s="3">
        <f t="shared" si="67"/>
        <v>0</v>
      </c>
    </row>
    <row r="4204" spans="12:12" x14ac:dyDescent="0.35">
      <c r="L4204" s="3">
        <f t="shared" si="67"/>
        <v>0</v>
      </c>
    </row>
    <row r="4205" spans="12:12" x14ac:dyDescent="0.35">
      <c r="L4205" s="3">
        <f t="shared" si="67"/>
        <v>0</v>
      </c>
    </row>
    <row r="4206" spans="12:12" x14ac:dyDescent="0.35">
      <c r="L4206" s="3">
        <f t="shared" si="67"/>
        <v>0</v>
      </c>
    </row>
    <row r="4207" spans="12:12" x14ac:dyDescent="0.35">
      <c r="L4207" s="3">
        <f t="shared" si="67"/>
        <v>0</v>
      </c>
    </row>
    <row r="4208" spans="12:12" x14ac:dyDescent="0.35">
      <c r="L4208" s="3">
        <f t="shared" si="67"/>
        <v>0</v>
      </c>
    </row>
    <row r="4209" spans="12:12" x14ac:dyDescent="0.35">
      <c r="L4209" s="3">
        <f t="shared" si="67"/>
        <v>0</v>
      </c>
    </row>
    <row r="4210" spans="12:12" x14ac:dyDescent="0.35">
      <c r="L4210" s="3">
        <f t="shared" si="67"/>
        <v>0</v>
      </c>
    </row>
    <row r="4211" spans="12:12" x14ac:dyDescent="0.35">
      <c r="L4211" s="3">
        <f t="shared" si="67"/>
        <v>0</v>
      </c>
    </row>
    <row r="4212" spans="12:12" x14ac:dyDescent="0.35">
      <c r="L4212" s="3">
        <f t="shared" si="67"/>
        <v>0</v>
      </c>
    </row>
    <row r="4213" spans="12:12" x14ac:dyDescent="0.35">
      <c r="L4213" s="3">
        <f t="shared" si="67"/>
        <v>0</v>
      </c>
    </row>
    <row r="4214" spans="12:12" x14ac:dyDescent="0.35">
      <c r="L4214" s="3">
        <f t="shared" si="67"/>
        <v>0</v>
      </c>
    </row>
    <row r="4215" spans="12:12" x14ac:dyDescent="0.35">
      <c r="L4215" s="3">
        <f t="shared" si="67"/>
        <v>0</v>
      </c>
    </row>
    <row r="4216" spans="12:12" x14ac:dyDescent="0.35">
      <c r="L4216" s="3">
        <f t="shared" si="67"/>
        <v>0</v>
      </c>
    </row>
    <row r="4217" spans="12:12" x14ac:dyDescent="0.35">
      <c r="L4217" s="3">
        <f t="shared" si="67"/>
        <v>0</v>
      </c>
    </row>
    <row r="4218" spans="12:12" x14ac:dyDescent="0.35">
      <c r="L4218" s="3">
        <f t="shared" si="67"/>
        <v>0</v>
      </c>
    </row>
    <row r="4219" spans="12:12" x14ac:dyDescent="0.35">
      <c r="L4219" s="3">
        <f t="shared" ref="L4219:L4282" si="68">K4219*C4219</f>
        <v>0</v>
      </c>
    </row>
    <row r="4220" spans="12:12" x14ac:dyDescent="0.35">
      <c r="L4220" s="3">
        <f t="shared" si="68"/>
        <v>0</v>
      </c>
    </row>
    <row r="4221" spans="12:12" x14ac:dyDescent="0.35">
      <c r="L4221" s="3">
        <f t="shared" si="68"/>
        <v>0</v>
      </c>
    </row>
    <row r="4222" spans="12:12" x14ac:dyDescent="0.35">
      <c r="L4222" s="3">
        <f t="shared" si="68"/>
        <v>0</v>
      </c>
    </row>
    <row r="4223" spans="12:12" x14ac:dyDescent="0.35">
      <c r="L4223" s="3">
        <f t="shared" si="68"/>
        <v>0</v>
      </c>
    </row>
    <row r="4224" spans="12:12" x14ac:dyDescent="0.35">
      <c r="L4224" s="3">
        <f t="shared" si="68"/>
        <v>0</v>
      </c>
    </row>
    <row r="4225" spans="12:12" x14ac:dyDescent="0.35">
      <c r="L4225" s="3">
        <f t="shared" si="68"/>
        <v>0</v>
      </c>
    </row>
    <row r="4226" spans="12:12" x14ac:dyDescent="0.35">
      <c r="L4226" s="3">
        <f t="shared" si="68"/>
        <v>0</v>
      </c>
    </row>
    <row r="4227" spans="12:12" x14ac:dyDescent="0.35">
      <c r="L4227" s="3">
        <f t="shared" si="68"/>
        <v>0</v>
      </c>
    </row>
    <row r="4228" spans="12:12" x14ac:dyDescent="0.35">
      <c r="L4228" s="3">
        <f t="shared" si="68"/>
        <v>0</v>
      </c>
    </row>
    <row r="4229" spans="12:12" x14ac:dyDescent="0.35">
      <c r="L4229" s="3">
        <f t="shared" si="68"/>
        <v>0</v>
      </c>
    </row>
    <row r="4230" spans="12:12" x14ac:dyDescent="0.35">
      <c r="L4230" s="3">
        <f t="shared" si="68"/>
        <v>0</v>
      </c>
    </row>
    <row r="4231" spans="12:12" x14ac:dyDescent="0.35">
      <c r="L4231" s="3">
        <f t="shared" si="68"/>
        <v>0</v>
      </c>
    </row>
    <row r="4232" spans="12:12" x14ac:dyDescent="0.35">
      <c r="L4232" s="3">
        <f t="shared" si="68"/>
        <v>0</v>
      </c>
    </row>
    <row r="4233" spans="12:12" x14ac:dyDescent="0.35">
      <c r="L4233" s="3">
        <f t="shared" si="68"/>
        <v>0</v>
      </c>
    </row>
    <row r="4234" spans="12:12" x14ac:dyDescent="0.35">
      <c r="L4234" s="3">
        <f t="shared" si="68"/>
        <v>0</v>
      </c>
    </row>
    <row r="4235" spans="12:12" x14ac:dyDescent="0.35">
      <c r="L4235" s="3">
        <f t="shared" si="68"/>
        <v>0</v>
      </c>
    </row>
    <row r="4236" spans="12:12" x14ac:dyDescent="0.35">
      <c r="L4236" s="3">
        <f t="shared" si="68"/>
        <v>0</v>
      </c>
    </row>
    <row r="4237" spans="12:12" x14ac:dyDescent="0.35">
      <c r="L4237" s="3">
        <f t="shared" si="68"/>
        <v>0</v>
      </c>
    </row>
    <row r="4238" spans="12:12" x14ac:dyDescent="0.35">
      <c r="L4238" s="3">
        <f t="shared" si="68"/>
        <v>0</v>
      </c>
    </row>
    <row r="4239" spans="12:12" x14ac:dyDescent="0.35">
      <c r="L4239" s="3">
        <f t="shared" si="68"/>
        <v>0</v>
      </c>
    </row>
    <row r="4240" spans="12:12" x14ac:dyDescent="0.35">
      <c r="L4240" s="3">
        <f t="shared" si="68"/>
        <v>0</v>
      </c>
    </row>
    <row r="4241" spans="12:12" x14ac:dyDescent="0.35">
      <c r="L4241" s="3">
        <f t="shared" si="68"/>
        <v>0</v>
      </c>
    </row>
    <row r="4242" spans="12:12" x14ac:dyDescent="0.35">
      <c r="L4242" s="3">
        <f t="shared" si="68"/>
        <v>0</v>
      </c>
    </row>
    <row r="4243" spans="12:12" x14ac:dyDescent="0.35">
      <c r="L4243" s="3">
        <f t="shared" si="68"/>
        <v>0</v>
      </c>
    </row>
    <row r="4244" spans="12:12" x14ac:dyDescent="0.35">
      <c r="L4244" s="3">
        <f t="shared" si="68"/>
        <v>0</v>
      </c>
    </row>
    <row r="4245" spans="12:12" x14ac:dyDescent="0.35">
      <c r="L4245" s="3">
        <f t="shared" si="68"/>
        <v>0</v>
      </c>
    </row>
    <row r="4246" spans="12:12" x14ac:dyDescent="0.35">
      <c r="L4246" s="3">
        <f t="shared" si="68"/>
        <v>0</v>
      </c>
    </row>
    <row r="4247" spans="12:12" x14ac:dyDescent="0.35">
      <c r="L4247" s="3">
        <f t="shared" si="68"/>
        <v>0</v>
      </c>
    </row>
    <row r="4248" spans="12:12" x14ac:dyDescent="0.35">
      <c r="L4248" s="3">
        <f t="shared" si="68"/>
        <v>0</v>
      </c>
    </row>
    <row r="4249" spans="12:12" x14ac:dyDescent="0.35">
      <c r="L4249" s="3">
        <f t="shared" si="68"/>
        <v>0</v>
      </c>
    </row>
    <row r="4250" spans="12:12" x14ac:dyDescent="0.35">
      <c r="L4250" s="3">
        <f t="shared" si="68"/>
        <v>0</v>
      </c>
    </row>
    <row r="4251" spans="12:12" x14ac:dyDescent="0.35">
      <c r="L4251" s="3">
        <f t="shared" si="68"/>
        <v>0</v>
      </c>
    </row>
    <row r="4252" spans="12:12" x14ac:dyDescent="0.35">
      <c r="L4252" s="3">
        <f t="shared" si="68"/>
        <v>0</v>
      </c>
    </row>
    <row r="4253" spans="12:12" x14ac:dyDescent="0.35">
      <c r="L4253" s="3">
        <f t="shared" si="68"/>
        <v>0</v>
      </c>
    </row>
    <row r="4254" spans="12:12" x14ac:dyDescent="0.35">
      <c r="L4254" s="3">
        <f t="shared" si="68"/>
        <v>0</v>
      </c>
    </row>
    <row r="4255" spans="12:12" x14ac:dyDescent="0.35">
      <c r="L4255" s="3">
        <f t="shared" si="68"/>
        <v>0</v>
      </c>
    </row>
    <row r="4256" spans="12:12" x14ac:dyDescent="0.35">
      <c r="L4256" s="3">
        <f t="shared" si="68"/>
        <v>0</v>
      </c>
    </row>
    <row r="4257" spans="12:12" x14ac:dyDescent="0.35">
      <c r="L4257" s="3">
        <f t="shared" si="68"/>
        <v>0</v>
      </c>
    </row>
    <row r="4258" spans="12:12" x14ac:dyDescent="0.35">
      <c r="L4258" s="3">
        <f t="shared" si="68"/>
        <v>0</v>
      </c>
    </row>
    <row r="4259" spans="12:12" x14ac:dyDescent="0.35">
      <c r="L4259" s="3">
        <f t="shared" si="68"/>
        <v>0</v>
      </c>
    </row>
    <row r="4260" spans="12:12" x14ac:dyDescent="0.35">
      <c r="L4260" s="3">
        <f t="shared" si="68"/>
        <v>0</v>
      </c>
    </row>
    <row r="4261" spans="12:12" x14ac:dyDescent="0.35">
      <c r="L4261" s="3">
        <f t="shared" si="68"/>
        <v>0</v>
      </c>
    </row>
    <row r="4262" spans="12:12" x14ac:dyDescent="0.35">
      <c r="L4262" s="3">
        <f t="shared" si="68"/>
        <v>0</v>
      </c>
    </row>
    <row r="4263" spans="12:12" x14ac:dyDescent="0.35">
      <c r="L4263" s="3">
        <f t="shared" si="68"/>
        <v>0</v>
      </c>
    </row>
    <row r="4264" spans="12:12" x14ac:dyDescent="0.35">
      <c r="L4264" s="3">
        <f t="shared" si="68"/>
        <v>0</v>
      </c>
    </row>
    <row r="4265" spans="12:12" x14ac:dyDescent="0.35">
      <c r="L4265" s="3">
        <f t="shared" si="68"/>
        <v>0</v>
      </c>
    </row>
    <row r="4266" spans="12:12" x14ac:dyDescent="0.35">
      <c r="L4266" s="3">
        <f t="shared" si="68"/>
        <v>0</v>
      </c>
    </row>
    <row r="4267" spans="12:12" x14ac:dyDescent="0.35">
      <c r="L4267" s="3">
        <f t="shared" si="68"/>
        <v>0</v>
      </c>
    </row>
    <row r="4268" spans="12:12" x14ac:dyDescent="0.35">
      <c r="L4268" s="3">
        <f t="shared" si="68"/>
        <v>0</v>
      </c>
    </row>
    <row r="4269" spans="12:12" x14ac:dyDescent="0.35">
      <c r="L4269" s="3">
        <f t="shared" si="68"/>
        <v>0</v>
      </c>
    </row>
    <row r="4270" spans="12:12" x14ac:dyDescent="0.35">
      <c r="L4270" s="3">
        <f t="shared" si="68"/>
        <v>0</v>
      </c>
    </row>
    <row r="4271" spans="12:12" x14ac:dyDescent="0.35">
      <c r="L4271" s="3">
        <f t="shared" si="68"/>
        <v>0</v>
      </c>
    </row>
    <row r="4272" spans="12:12" x14ac:dyDescent="0.35">
      <c r="L4272" s="3">
        <f t="shared" si="68"/>
        <v>0</v>
      </c>
    </row>
    <row r="4273" spans="12:12" x14ac:dyDescent="0.35">
      <c r="L4273" s="3">
        <f t="shared" si="68"/>
        <v>0</v>
      </c>
    </row>
    <row r="4274" spans="12:12" x14ac:dyDescent="0.35">
      <c r="L4274" s="3">
        <f t="shared" si="68"/>
        <v>0</v>
      </c>
    </row>
    <row r="4275" spans="12:12" x14ac:dyDescent="0.35">
      <c r="L4275" s="3">
        <f t="shared" si="68"/>
        <v>0</v>
      </c>
    </row>
    <row r="4276" spans="12:12" x14ac:dyDescent="0.35">
      <c r="L4276" s="3">
        <f t="shared" si="68"/>
        <v>0</v>
      </c>
    </row>
    <row r="4277" spans="12:12" x14ac:dyDescent="0.35">
      <c r="L4277" s="3">
        <f t="shared" si="68"/>
        <v>0</v>
      </c>
    </row>
    <row r="4278" spans="12:12" x14ac:dyDescent="0.35">
      <c r="L4278" s="3">
        <f t="shared" si="68"/>
        <v>0</v>
      </c>
    </row>
    <row r="4279" spans="12:12" x14ac:dyDescent="0.35">
      <c r="L4279" s="3">
        <f t="shared" si="68"/>
        <v>0</v>
      </c>
    </row>
    <row r="4280" spans="12:12" x14ac:dyDescent="0.35">
      <c r="L4280" s="3">
        <f t="shared" si="68"/>
        <v>0</v>
      </c>
    </row>
    <row r="4281" spans="12:12" x14ac:dyDescent="0.35">
      <c r="L4281" s="3">
        <f t="shared" si="68"/>
        <v>0</v>
      </c>
    </row>
    <row r="4282" spans="12:12" x14ac:dyDescent="0.35">
      <c r="L4282" s="3">
        <f t="shared" si="68"/>
        <v>0</v>
      </c>
    </row>
    <row r="4283" spans="12:12" x14ac:dyDescent="0.35">
      <c r="L4283" s="3">
        <f t="shared" ref="L4283:L4346" si="69">K4283*C4283</f>
        <v>0</v>
      </c>
    </row>
    <row r="4284" spans="12:12" x14ac:dyDescent="0.35">
      <c r="L4284" s="3">
        <f t="shared" si="69"/>
        <v>0</v>
      </c>
    </row>
    <row r="4285" spans="12:12" x14ac:dyDescent="0.35">
      <c r="L4285" s="3">
        <f t="shared" si="69"/>
        <v>0</v>
      </c>
    </row>
    <row r="4286" spans="12:12" x14ac:dyDescent="0.35">
      <c r="L4286" s="3">
        <f t="shared" si="69"/>
        <v>0</v>
      </c>
    </row>
    <row r="4287" spans="12:12" x14ac:dyDescent="0.35">
      <c r="L4287" s="3">
        <f t="shared" si="69"/>
        <v>0</v>
      </c>
    </row>
    <row r="4288" spans="12:12" x14ac:dyDescent="0.35">
      <c r="L4288" s="3">
        <f t="shared" si="69"/>
        <v>0</v>
      </c>
    </row>
    <row r="4289" spans="12:12" x14ac:dyDescent="0.35">
      <c r="L4289" s="3">
        <f t="shared" si="69"/>
        <v>0</v>
      </c>
    </row>
    <row r="4290" spans="12:12" x14ac:dyDescent="0.35">
      <c r="L4290" s="3">
        <f t="shared" si="69"/>
        <v>0</v>
      </c>
    </row>
    <row r="4291" spans="12:12" x14ac:dyDescent="0.35">
      <c r="L4291" s="3">
        <f t="shared" si="69"/>
        <v>0</v>
      </c>
    </row>
    <row r="4292" spans="12:12" x14ac:dyDescent="0.35">
      <c r="L4292" s="3">
        <f t="shared" si="69"/>
        <v>0</v>
      </c>
    </row>
    <row r="4293" spans="12:12" x14ac:dyDescent="0.35">
      <c r="L4293" s="3">
        <f t="shared" si="69"/>
        <v>0</v>
      </c>
    </row>
    <row r="4294" spans="12:12" x14ac:dyDescent="0.35">
      <c r="L4294" s="3">
        <f t="shared" si="69"/>
        <v>0</v>
      </c>
    </row>
    <row r="4295" spans="12:12" x14ac:dyDescent="0.35">
      <c r="L4295" s="3">
        <f t="shared" si="69"/>
        <v>0</v>
      </c>
    </row>
    <row r="4296" spans="12:12" x14ac:dyDescent="0.35">
      <c r="L4296" s="3">
        <f t="shared" si="69"/>
        <v>0</v>
      </c>
    </row>
    <row r="4297" spans="12:12" x14ac:dyDescent="0.35">
      <c r="L4297" s="3">
        <f t="shared" si="69"/>
        <v>0</v>
      </c>
    </row>
    <row r="4298" spans="12:12" x14ac:dyDescent="0.35">
      <c r="L4298" s="3">
        <f t="shared" si="69"/>
        <v>0</v>
      </c>
    </row>
    <row r="4299" spans="12:12" x14ac:dyDescent="0.35">
      <c r="L4299" s="3">
        <f t="shared" si="69"/>
        <v>0</v>
      </c>
    </row>
    <row r="4300" spans="12:12" x14ac:dyDescent="0.35">
      <c r="L4300" s="3">
        <f t="shared" si="69"/>
        <v>0</v>
      </c>
    </row>
    <row r="4301" spans="12:12" x14ac:dyDescent="0.35">
      <c r="L4301" s="3">
        <f t="shared" si="69"/>
        <v>0</v>
      </c>
    </row>
    <row r="4302" spans="12:12" x14ac:dyDescent="0.35">
      <c r="L4302" s="3">
        <f t="shared" si="69"/>
        <v>0</v>
      </c>
    </row>
    <row r="4303" spans="12:12" x14ac:dyDescent="0.35">
      <c r="L4303" s="3">
        <f t="shared" si="69"/>
        <v>0</v>
      </c>
    </row>
    <row r="4304" spans="12:12" x14ac:dyDescent="0.35">
      <c r="L4304" s="3">
        <f t="shared" si="69"/>
        <v>0</v>
      </c>
    </row>
    <row r="4305" spans="12:12" x14ac:dyDescent="0.35">
      <c r="L4305" s="3">
        <f t="shared" si="69"/>
        <v>0</v>
      </c>
    </row>
    <row r="4306" spans="12:12" x14ac:dyDescent="0.35">
      <c r="L4306" s="3">
        <f t="shared" si="69"/>
        <v>0</v>
      </c>
    </row>
    <row r="4307" spans="12:12" x14ac:dyDescent="0.35">
      <c r="L4307" s="3">
        <f t="shared" si="69"/>
        <v>0</v>
      </c>
    </row>
    <row r="4308" spans="12:12" x14ac:dyDescent="0.35">
      <c r="L4308" s="3">
        <f t="shared" si="69"/>
        <v>0</v>
      </c>
    </row>
    <row r="4309" spans="12:12" x14ac:dyDescent="0.35">
      <c r="L4309" s="3">
        <f t="shared" si="69"/>
        <v>0</v>
      </c>
    </row>
    <row r="4310" spans="12:12" x14ac:dyDescent="0.35">
      <c r="L4310" s="3">
        <f t="shared" si="69"/>
        <v>0</v>
      </c>
    </row>
    <row r="4311" spans="12:12" x14ac:dyDescent="0.35">
      <c r="L4311" s="3">
        <f t="shared" si="69"/>
        <v>0</v>
      </c>
    </row>
    <row r="4312" spans="12:12" x14ac:dyDescent="0.35">
      <c r="L4312" s="3">
        <f t="shared" si="69"/>
        <v>0</v>
      </c>
    </row>
    <row r="4313" spans="12:12" x14ac:dyDescent="0.35">
      <c r="L4313" s="3">
        <f t="shared" si="69"/>
        <v>0</v>
      </c>
    </row>
    <row r="4314" spans="12:12" x14ac:dyDescent="0.35">
      <c r="L4314" s="3">
        <f t="shared" si="69"/>
        <v>0</v>
      </c>
    </row>
    <row r="4315" spans="12:12" x14ac:dyDescent="0.35">
      <c r="L4315" s="3">
        <f t="shared" si="69"/>
        <v>0</v>
      </c>
    </row>
    <row r="4316" spans="12:12" x14ac:dyDescent="0.35">
      <c r="L4316" s="3">
        <f t="shared" si="69"/>
        <v>0</v>
      </c>
    </row>
    <row r="4317" spans="12:12" x14ac:dyDescent="0.35">
      <c r="L4317" s="3">
        <f t="shared" si="69"/>
        <v>0</v>
      </c>
    </row>
    <row r="4318" spans="12:12" x14ac:dyDescent="0.35">
      <c r="L4318" s="3">
        <f t="shared" si="69"/>
        <v>0</v>
      </c>
    </row>
    <row r="4319" spans="12:12" x14ac:dyDescent="0.35">
      <c r="L4319" s="3">
        <f t="shared" si="69"/>
        <v>0</v>
      </c>
    </row>
    <row r="4320" spans="12:12" x14ac:dyDescent="0.35">
      <c r="L4320" s="3">
        <f t="shared" si="69"/>
        <v>0</v>
      </c>
    </row>
    <row r="4321" spans="12:12" x14ac:dyDescent="0.35">
      <c r="L4321" s="3">
        <f t="shared" si="69"/>
        <v>0</v>
      </c>
    </row>
    <row r="4322" spans="12:12" x14ac:dyDescent="0.35">
      <c r="L4322" s="3">
        <f t="shared" si="69"/>
        <v>0</v>
      </c>
    </row>
    <row r="4323" spans="12:12" x14ac:dyDescent="0.35">
      <c r="L4323" s="3">
        <f t="shared" si="69"/>
        <v>0</v>
      </c>
    </row>
    <row r="4324" spans="12:12" x14ac:dyDescent="0.35">
      <c r="L4324" s="3">
        <f t="shared" si="69"/>
        <v>0</v>
      </c>
    </row>
    <row r="4325" spans="12:12" x14ac:dyDescent="0.35">
      <c r="L4325" s="3">
        <f t="shared" si="69"/>
        <v>0</v>
      </c>
    </row>
    <row r="4326" spans="12:12" x14ac:dyDescent="0.35">
      <c r="L4326" s="3">
        <f t="shared" si="69"/>
        <v>0</v>
      </c>
    </row>
    <row r="4327" spans="12:12" x14ac:dyDescent="0.35">
      <c r="L4327" s="3">
        <f t="shared" si="69"/>
        <v>0</v>
      </c>
    </row>
    <row r="4328" spans="12:12" x14ac:dyDescent="0.35">
      <c r="L4328" s="3">
        <f t="shared" si="69"/>
        <v>0</v>
      </c>
    </row>
    <row r="4329" spans="12:12" x14ac:dyDescent="0.35">
      <c r="L4329" s="3">
        <f t="shared" si="69"/>
        <v>0</v>
      </c>
    </row>
    <row r="4330" spans="12:12" x14ac:dyDescent="0.35">
      <c r="L4330" s="3">
        <f t="shared" si="69"/>
        <v>0</v>
      </c>
    </row>
    <row r="4331" spans="12:12" x14ac:dyDescent="0.35">
      <c r="L4331" s="3">
        <f t="shared" si="69"/>
        <v>0</v>
      </c>
    </row>
    <row r="4332" spans="12:12" x14ac:dyDescent="0.35">
      <c r="L4332" s="3">
        <f t="shared" si="69"/>
        <v>0</v>
      </c>
    </row>
    <row r="4333" spans="12:12" x14ac:dyDescent="0.35">
      <c r="L4333" s="3">
        <f t="shared" si="69"/>
        <v>0</v>
      </c>
    </row>
    <row r="4334" spans="12:12" x14ac:dyDescent="0.35">
      <c r="L4334" s="3">
        <f t="shared" si="69"/>
        <v>0</v>
      </c>
    </row>
    <row r="4335" spans="12:12" x14ac:dyDescent="0.35">
      <c r="L4335" s="3">
        <f t="shared" si="69"/>
        <v>0</v>
      </c>
    </row>
    <row r="4336" spans="12:12" x14ac:dyDescent="0.35">
      <c r="L4336" s="3">
        <f t="shared" si="69"/>
        <v>0</v>
      </c>
    </row>
    <row r="4337" spans="12:12" x14ac:dyDescent="0.35">
      <c r="L4337" s="3">
        <f t="shared" si="69"/>
        <v>0</v>
      </c>
    </row>
    <row r="4338" spans="12:12" x14ac:dyDescent="0.35">
      <c r="L4338" s="3">
        <f t="shared" si="69"/>
        <v>0</v>
      </c>
    </row>
    <row r="4339" spans="12:12" x14ac:dyDescent="0.35">
      <c r="L4339" s="3">
        <f t="shared" si="69"/>
        <v>0</v>
      </c>
    </row>
    <row r="4340" spans="12:12" x14ac:dyDescent="0.35">
      <c r="L4340" s="3">
        <f t="shared" si="69"/>
        <v>0</v>
      </c>
    </row>
    <row r="4341" spans="12:12" x14ac:dyDescent="0.35">
      <c r="L4341" s="3">
        <f t="shared" si="69"/>
        <v>0</v>
      </c>
    </row>
    <row r="4342" spans="12:12" x14ac:dyDescent="0.35">
      <c r="L4342" s="3">
        <f t="shared" si="69"/>
        <v>0</v>
      </c>
    </row>
    <row r="4343" spans="12:12" x14ac:dyDescent="0.35">
      <c r="L4343" s="3">
        <f t="shared" si="69"/>
        <v>0</v>
      </c>
    </row>
    <row r="4344" spans="12:12" x14ac:dyDescent="0.35">
      <c r="L4344" s="3">
        <f t="shared" si="69"/>
        <v>0</v>
      </c>
    </row>
    <row r="4345" spans="12:12" x14ac:dyDescent="0.35">
      <c r="L4345" s="3">
        <f t="shared" si="69"/>
        <v>0</v>
      </c>
    </row>
    <row r="4346" spans="12:12" x14ac:dyDescent="0.35">
      <c r="L4346" s="3">
        <f t="shared" si="69"/>
        <v>0</v>
      </c>
    </row>
    <row r="4347" spans="12:12" x14ac:dyDescent="0.35">
      <c r="L4347" s="3">
        <f t="shared" ref="L4347:L4410" si="70">K4347*C4347</f>
        <v>0</v>
      </c>
    </row>
    <row r="4348" spans="12:12" x14ac:dyDescent="0.35">
      <c r="L4348" s="3">
        <f t="shared" si="70"/>
        <v>0</v>
      </c>
    </row>
    <row r="4349" spans="12:12" x14ac:dyDescent="0.35">
      <c r="L4349" s="3">
        <f t="shared" si="70"/>
        <v>0</v>
      </c>
    </row>
    <row r="4350" spans="12:12" x14ac:dyDescent="0.35">
      <c r="L4350" s="3">
        <f t="shared" si="70"/>
        <v>0</v>
      </c>
    </row>
    <row r="4351" spans="12:12" x14ac:dyDescent="0.35">
      <c r="L4351" s="3">
        <f t="shared" si="70"/>
        <v>0</v>
      </c>
    </row>
    <row r="4352" spans="12:12" x14ac:dyDescent="0.35">
      <c r="L4352" s="3">
        <f t="shared" si="70"/>
        <v>0</v>
      </c>
    </row>
    <row r="4353" spans="12:12" x14ac:dyDescent="0.35">
      <c r="L4353" s="3">
        <f t="shared" si="70"/>
        <v>0</v>
      </c>
    </row>
    <row r="4354" spans="12:12" x14ac:dyDescent="0.35">
      <c r="L4354" s="3">
        <f t="shared" si="70"/>
        <v>0</v>
      </c>
    </row>
    <row r="4355" spans="12:12" x14ac:dyDescent="0.35">
      <c r="L4355" s="3">
        <f t="shared" si="70"/>
        <v>0</v>
      </c>
    </row>
    <row r="4356" spans="12:12" x14ac:dyDescent="0.35">
      <c r="L4356" s="3">
        <f t="shared" si="70"/>
        <v>0</v>
      </c>
    </row>
    <row r="4357" spans="12:12" x14ac:dyDescent="0.35">
      <c r="L4357" s="3">
        <f t="shared" si="70"/>
        <v>0</v>
      </c>
    </row>
    <row r="4358" spans="12:12" x14ac:dyDescent="0.35">
      <c r="L4358" s="3">
        <f t="shared" si="70"/>
        <v>0</v>
      </c>
    </row>
    <row r="4359" spans="12:12" x14ac:dyDescent="0.35">
      <c r="L4359" s="3">
        <f t="shared" si="70"/>
        <v>0</v>
      </c>
    </row>
    <row r="4360" spans="12:12" x14ac:dyDescent="0.35">
      <c r="L4360" s="3">
        <f t="shared" si="70"/>
        <v>0</v>
      </c>
    </row>
    <row r="4361" spans="12:12" x14ac:dyDescent="0.35">
      <c r="L4361" s="3">
        <f t="shared" si="70"/>
        <v>0</v>
      </c>
    </row>
    <row r="4362" spans="12:12" x14ac:dyDescent="0.35">
      <c r="L4362" s="3">
        <f t="shared" si="70"/>
        <v>0</v>
      </c>
    </row>
    <row r="4363" spans="12:12" x14ac:dyDescent="0.35">
      <c r="L4363" s="3">
        <f t="shared" si="70"/>
        <v>0</v>
      </c>
    </row>
    <row r="4364" spans="12:12" x14ac:dyDescent="0.35">
      <c r="L4364" s="3">
        <f t="shared" si="70"/>
        <v>0</v>
      </c>
    </row>
    <row r="4365" spans="12:12" x14ac:dyDescent="0.35">
      <c r="L4365" s="3">
        <f t="shared" si="70"/>
        <v>0</v>
      </c>
    </row>
    <row r="4366" spans="12:12" x14ac:dyDescent="0.35">
      <c r="L4366" s="3">
        <f t="shared" si="70"/>
        <v>0</v>
      </c>
    </row>
    <row r="4367" spans="12:12" x14ac:dyDescent="0.35">
      <c r="L4367" s="3">
        <f t="shared" si="70"/>
        <v>0</v>
      </c>
    </row>
    <row r="4368" spans="12:12" x14ac:dyDescent="0.35">
      <c r="L4368" s="3">
        <f t="shared" si="70"/>
        <v>0</v>
      </c>
    </row>
    <row r="4369" spans="12:12" x14ac:dyDescent="0.35">
      <c r="L4369" s="3">
        <f t="shared" si="70"/>
        <v>0</v>
      </c>
    </row>
    <row r="4370" spans="12:12" x14ac:dyDescent="0.35">
      <c r="L4370" s="3">
        <f t="shared" si="70"/>
        <v>0</v>
      </c>
    </row>
    <row r="4371" spans="12:12" x14ac:dyDescent="0.35">
      <c r="L4371" s="3">
        <f t="shared" si="70"/>
        <v>0</v>
      </c>
    </row>
    <row r="4372" spans="12:12" x14ac:dyDescent="0.35">
      <c r="L4372" s="3">
        <f t="shared" si="70"/>
        <v>0</v>
      </c>
    </row>
    <row r="4373" spans="12:12" x14ac:dyDescent="0.35">
      <c r="L4373" s="3">
        <f t="shared" si="70"/>
        <v>0</v>
      </c>
    </row>
    <row r="4374" spans="12:12" x14ac:dyDescent="0.35">
      <c r="L4374" s="3">
        <f t="shared" si="70"/>
        <v>0</v>
      </c>
    </row>
    <row r="4375" spans="12:12" x14ac:dyDescent="0.35">
      <c r="L4375" s="3">
        <f t="shared" si="70"/>
        <v>0</v>
      </c>
    </row>
    <row r="4376" spans="12:12" x14ac:dyDescent="0.35">
      <c r="L4376" s="3">
        <f t="shared" si="70"/>
        <v>0</v>
      </c>
    </row>
    <row r="4377" spans="12:12" x14ac:dyDescent="0.35">
      <c r="L4377" s="3">
        <f t="shared" si="70"/>
        <v>0</v>
      </c>
    </row>
    <row r="4378" spans="12:12" x14ac:dyDescent="0.35">
      <c r="L4378" s="3">
        <f t="shared" si="70"/>
        <v>0</v>
      </c>
    </row>
    <row r="4379" spans="12:12" x14ac:dyDescent="0.35">
      <c r="L4379" s="3">
        <f t="shared" si="70"/>
        <v>0</v>
      </c>
    </row>
    <row r="4380" spans="12:12" x14ac:dyDescent="0.35">
      <c r="L4380" s="3">
        <f t="shared" si="70"/>
        <v>0</v>
      </c>
    </row>
    <row r="4381" spans="12:12" x14ac:dyDescent="0.35">
      <c r="L4381" s="3">
        <f t="shared" si="70"/>
        <v>0</v>
      </c>
    </row>
    <row r="4382" spans="12:12" x14ac:dyDescent="0.35">
      <c r="L4382" s="3">
        <f t="shared" si="70"/>
        <v>0</v>
      </c>
    </row>
    <row r="4383" spans="12:12" x14ac:dyDescent="0.35">
      <c r="L4383" s="3">
        <f t="shared" si="70"/>
        <v>0</v>
      </c>
    </row>
    <row r="4384" spans="12:12" x14ac:dyDescent="0.35">
      <c r="L4384" s="3">
        <f t="shared" si="70"/>
        <v>0</v>
      </c>
    </row>
    <row r="4385" spans="12:12" x14ac:dyDescent="0.35">
      <c r="L4385" s="3">
        <f t="shared" si="70"/>
        <v>0</v>
      </c>
    </row>
    <row r="4386" spans="12:12" x14ac:dyDescent="0.35">
      <c r="L4386" s="3">
        <f t="shared" si="70"/>
        <v>0</v>
      </c>
    </row>
    <row r="4387" spans="12:12" x14ac:dyDescent="0.35">
      <c r="L4387" s="3">
        <f t="shared" si="70"/>
        <v>0</v>
      </c>
    </row>
    <row r="4388" spans="12:12" x14ac:dyDescent="0.35">
      <c r="L4388" s="3">
        <f t="shared" si="70"/>
        <v>0</v>
      </c>
    </row>
    <row r="4389" spans="12:12" x14ac:dyDescent="0.35">
      <c r="L4389" s="3">
        <f t="shared" si="70"/>
        <v>0</v>
      </c>
    </row>
    <row r="4390" spans="12:12" x14ac:dyDescent="0.35">
      <c r="L4390" s="3">
        <f t="shared" si="70"/>
        <v>0</v>
      </c>
    </row>
    <row r="4391" spans="12:12" x14ac:dyDescent="0.35">
      <c r="L4391" s="3">
        <f t="shared" si="70"/>
        <v>0</v>
      </c>
    </row>
    <row r="4392" spans="12:12" x14ac:dyDescent="0.35">
      <c r="L4392" s="3">
        <f t="shared" si="70"/>
        <v>0</v>
      </c>
    </row>
    <row r="4393" spans="12:12" x14ac:dyDescent="0.35">
      <c r="L4393" s="3">
        <f t="shared" si="70"/>
        <v>0</v>
      </c>
    </row>
    <row r="4394" spans="12:12" x14ac:dyDescent="0.35">
      <c r="L4394" s="3">
        <f t="shared" si="70"/>
        <v>0</v>
      </c>
    </row>
    <row r="4395" spans="12:12" x14ac:dyDescent="0.35">
      <c r="L4395" s="3">
        <f t="shared" si="70"/>
        <v>0</v>
      </c>
    </row>
    <row r="4396" spans="12:12" x14ac:dyDescent="0.35">
      <c r="L4396" s="3">
        <f t="shared" si="70"/>
        <v>0</v>
      </c>
    </row>
    <row r="4397" spans="12:12" x14ac:dyDescent="0.35">
      <c r="L4397" s="3">
        <f t="shared" si="70"/>
        <v>0</v>
      </c>
    </row>
    <row r="4398" spans="12:12" x14ac:dyDescent="0.35">
      <c r="L4398" s="3">
        <f t="shared" si="70"/>
        <v>0</v>
      </c>
    </row>
  </sheetData>
  <autoFilter ref="A4:P4398" xr:uid="{00000000-0009-0000-0000-000000000000}"/>
  <conditionalFormatting sqref="L5:L235 L247:L565 L913:L4398 L829:L909 L820:L827 L567:L817">
    <cfRule type="expression" dxfId="5" priority="10">
      <formula>OR(C5*#REF!&gt;C5*K5,AND(C5&gt;0,K5=0))</formula>
    </cfRule>
  </conditionalFormatting>
  <conditionalFormatting sqref="L828">
    <cfRule type="expression" dxfId="4" priority="5">
      <formula>OR(C828*#REF!&gt;C828*K828,AND(C828&gt;0,K828=0))</formula>
    </cfRule>
  </conditionalFormatting>
  <conditionalFormatting sqref="L236:L246">
    <cfRule type="expression" dxfId="3" priority="4">
      <formula>OR(C236*#REF!&gt;C236*K236,AND(C236&gt;0,K236=0))</formula>
    </cfRule>
  </conditionalFormatting>
  <conditionalFormatting sqref="L910:L912">
    <cfRule type="expression" dxfId="2" priority="3">
      <formula>OR(C910*#REF!&gt;C910*K910,AND(C910&gt;0,K910=0))</formula>
    </cfRule>
  </conditionalFormatting>
  <conditionalFormatting sqref="L818:L819">
    <cfRule type="expression" dxfId="1" priority="2">
      <formula>OR(C818*#REF!&gt;C818*K818,AND(C818&gt;0,K818=0))</formula>
    </cfRule>
  </conditionalFormatting>
  <conditionalFormatting sqref="L566">
    <cfRule type="expression" dxfId="0" priority="1">
      <formula>OR(C566*#REF!&gt;C566*K566,AND(C566&gt;0,K566=0))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Telitel</dc:creator>
  <cp:lastModifiedBy>abdel Telitel</cp:lastModifiedBy>
  <cp:revision>1</cp:revision>
  <dcterms:created xsi:type="dcterms:W3CDTF">2025-12-14T23:01:11Z</dcterms:created>
  <dcterms:modified xsi:type="dcterms:W3CDTF">2026-01-04T15:30:31Z</dcterms:modified>
  <dc:language>es-ES</dc:language>
</cp:coreProperties>
</file>